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siness Files\CPUC\DEER\2016Update\ARP\2015OctVersion\"/>
    </mc:Choice>
  </mc:AlternateContent>
  <bookViews>
    <workbookView xWindow="9816" yWindow="108" windowWidth="18312" windowHeight="11628" tabRatio="884" activeTab="1"/>
  </bookViews>
  <sheets>
    <sheet name="StatewideSummary Tables" sheetId="22" r:id="rId1"/>
    <sheet name="Statewide Ref Dispostion" sheetId="18" r:id="rId2"/>
    <sheet name="Statewide PGE REF NTG" sheetId="19" state="hidden" r:id="rId3"/>
    <sheet name="Statewide SCE REF NTG" sheetId="20" state="hidden" r:id="rId4"/>
    <sheet name="Statewide SDGE REF NTG" sheetId="21" state="hidden" r:id="rId5"/>
    <sheet name="All IOU FRZ NTG" sheetId="5" r:id="rId6"/>
    <sheet name="SecMktProportions" sheetId="12" r:id="rId7"/>
    <sheet name="SecMktVolume" sheetId="6" r:id="rId8"/>
    <sheet name="Program_Claims" sheetId="15" r:id="rId9"/>
    <sheet name="kW Claims" sheetId="8" r:id="rId10"/>
    <sheet name="Gross UECs" sheetId="7" r:id="rId11"/>
    <sheet name="Part Keep-Discard" sheetId="9" r:id="rId12"/>
    <sheet name="Part KIU-KU" sheetId="10" r:id="rId13"/>
    <sheet name="Discarder Disposition" sheetId="11" r:id="rId14"/>
    <sheet name="P2P CF if Unit not available" sheetId="13" r:id="rId15"/>
    <sheet name="Ret CF if Unit not available" sheetId="14" r:id="rId16"/>
    <sheet name="Census to IOU" sheetId="16" r:id="rId17"/>
    <sheet name="Part_Sample Targets &amp; Completes" sheetId="23" r:id="rId18"/>
    <sheet name="Verification" sheetId="24" r:id="rId19"/>
    <sheet name="Summary Tables" sheetId="1" r:id="rId20"/>
    <sheet name="PGE REF NTG" sheetId="2" r:id="rId21"/>
    <sheet name="SCE REF NTG" sheetId="3" r:id="rId22"/>
    <sheet name="SDGE REF NTG" sheetId="4" r:id="rId23"/>
  </sheets>
  <externalReferences>
    <externalReference r:id="rId24"/>
    <externalReference r:id="rId25"/>
  </externalReferences>
  <definedNames>
    <definedName name="_xlnm._FilterDatabase" localSheetId="10" hidden="1">'Gross UECs'!$A$1:$B$32</definedName>
    <definedName name="_Ref386027282" localSheetId="10">'Gross UECs'!$A$1</definedName>
    <definedName name="_Ref387161881" localSheetId="0">'StatewideSummary Tables'!$C$236</definedName>
    <definedName name="_Ref391224239" localSheetId="0">'StatewideSummary Tables'!$C$384</definedName>
    <definedName name="_Ref391230913" localSheetId="0">'StatewideSummary Tables'!$C$387</definedName>
    <definedName name="_Ref391230914" localSheetId="20">'PGE REF NTG'!$BD$40</definedName>
    <definedName name="_Ref391230914" localSheetId="2">'Statewide PGE REF NTG'!$AI$42</definedName>
    <definedName name="_Ref391230914" localSheetId="1">'Statewide Ref Dispostion'!$AU$34</definedName>
    <definedName name="_Ref391230916" localSheetId="0">'StatewideSummary Tables'!$C$449</definedName>
    <definedName name="_Ref391231277" localSheetId="0">'StatewideSummary Tables'!$C$478</definedName>
    <definedName name="_Ref391286819" localSheetId="0">'StatewideSummary Tables'!$C$215</definedName>
    <definedName name="_Ref391287871" localSheetId="0">'StatewideSummary Tables'!$C$259</definedName>
    <definedName name="_Ref391288307" localSheetId="0">'StatewideSummary Tables'!$C$242</definedName>
    <definedName name="_Ref391288317" localSheetId="0">'StatewideSummary Tables'!$C$259</definedName>
    <definedName name="_Ref391288385" localSheetId="0">'StatewideSummary Tables'!$C$251</definedName>
    <definedName name="_Ref391288668" localSheetId="0">'StatewideSummary Tables'!$D$274</definedName>
    <definedName name="_Ref391288737" localSheetId="0">'StatewideSummary Tables'!$C$293</definedName>
    <definedName name="_Ref391293815" localSheetId="0">'StatewideSummary Tables'!$C$335</definedName>
    <definedName name="_Ref391393733" localSheetId="0">'StatewideSummary Tables'!$C$296</definedName>
    <definedName name="_Ref391408721" localSheetId="0">'StatewideSummary Tables'!$C$332</definedName>
    <definedName name="_Ref391408761" localSheetId="0">'StatewideSummary Tables'!$C$367</definedName>
    <definedName name="_Ref391557517" localSheetId="0">'StatewideSummary Tables'!$C$2</definedName>
    <definedName name="_Ref391557719" localSheetId="0">'StatewideSummary Tables'!$C$13</definedName>
    <definedName name="_Ref391557719" localSheetId="19">'Summary Tables'!$M$66</definedName>
    <definedName name="_Ref391575357" localSheetId="0">'StatewideSummary Tables'!$C$349</definedName>
    <definedName name="_Ref391652901" localSheetId="0">'StatewideSummary Tables'!$C$326</definedName>
    <definedName name="_Ref391653005" localSheetId="20">'PGE REF NTG'!$CI$12</definedName>
    <definedName name="_Ref391653005" localSheetId="2">'Statewide PGE REF NTG'!#REF!</definedName>
    <definedName name="_Ref391653005" localSheetId="1">'Statewide Ref Dispostion'!$AX$5</definedName>
    <definedName name="_Ref391653199" localSheetId="0">'StatewideSummary Tables'!#REF!</definedName>
    <definedName name="_Ref391653199" localSheetId="19">'Summary Tables'!$AL$56</definedName>
    <definedName name="_Ref391911211" localSheetId="0">'StatewideSummary Tables'!$C$513</definedName>
    <definedName name="_Ref391911221" localSheetId="0">'StatewideSummary Tables'!$C$541</definedName>
    <definedName name="_Ref391911244" localSheetId="0">'StatewideSummary Tables'!$C$571</definedName>
    <definedName name="_Ref391911281" localSheetId="0">'StatewideSummary Tables'!$C$602</definedName>
    <definedName name="_Ref391912202" localSheetId="0">'StatewideSummary Tables'!$C$607</definedName>
    <definedName name="_Ref391912202" localSheetId="19">'Summary Tables'!$B$2</definedName>
    <definedName name="_Ref391915637" localSheetId="0">'StatewideSummary Tables'!$C$26</definedName>
    <definedName name="_Ref391915637" localSheetId="19">'Summary Tables'!$T$33</definedName>
    <definedName name="_Ref391982928" localSheetId="0">'StatewideSummary Tables'!$D$338</definedName>
    <definedName name="_Ref392151901" localSheetId="0">'StatewideSummary Tables'!$C$25</definedName>
    <definedName name="_Ref392158404" localSheetId="0">'StatewideSummary Tables'!#REF!</definedName>
    <definedName name="_Ref392158404" localSheetId="19">'Summary Tables'!$M$50</definedName>
    <definedName name="_Ref393302761" localSheetId="0">'StatewideSummary Tables'!$C$53</definedName>
    <definedName name="_Ref393302938" localSheetId="0">'StatewideSummary Tables'!$C$100</definedName>
    <definedName name="_Ref393303152" localSheetId="0">'StatewideSummary Tables'!#REF!</definedName>
    <definedName name="_Ref393303152" localSheetId="19">'Summary Tables'!$Z$33</definedName>
    <definedName name="_Ref393303206" localSheetId="0">'StatewideSummary Tables'!#REF!</definedName>
    <definedName name="_Ref393303206" localSheetId="19">'Summary Tables'!$AF$33</definedName>
    <definedName name="_Ref397877620" localSheetId="0">'StatewideSummary Tables'!$C$260</definedName>
    <definedName name="_Toc396163385" localSheetId="9">'kW Claims'!$L$2</definedName>
    <definedName name="_Toc397940858" localSheetId="0">'StatewideSummary Tables'!$C$619</definedName>
    <definedName name="_Toc397940859" localSheetId="0">'StatewideSummary Tables'!$C$632</definedName>
    <definedName name="IDX" localSheetId="11">'Part Keep-Discard'!$A$4</definedName>
    <definedName name="Outgoing_Recycled_Disposed_Prop">'[1]Used Market Flow Calcs'!$K$115</definedName>
    <definedName name="P2P_Qual_Pop">'[2]Secondary Mkt Size'!$C$17</definedName>
    <definedName name="P2P_Sample">'[2]Secondary Mkt Size'!$C$14</definedName>
    <definedName name="P2P_to_Retail_Ratio">'[2]Secondary Mkt Size'!$D$4</definedName>
    <definedName name="SampledFeeds">'[2]Secondary Mkt Size'!$C$11</definedName>
    <definedName name="Z_223C1DCA_941C_47FC_83AC_426B3DB3086A_.wvu.FilterData" localSheetId="10" hidden="1">'Gross UECs'!$A$1:$B$32</definedName>
    <definedName name="Z_223C1DCA_941C_47FC_83AC_426B3DB3086A_.wvu.Rows" localSheetId="20" hidden="1">'PGE REF NTG'!$10:$11</definedName>
    <definedName name="Z_223C1DCA_941C_47FC_83AC_426B3DB3086A_.wvu.Rows" localSheetId="7" hidden="1">SecMktVolume!$2:$2</definedName>
    <definedName name="Z_223C1DCA_941C_47FC_83AC_426B3DB3086A_.wvu.Rows" localSheetId="2" hidden="1">'Statewide PGE REF NTG'!$10:$11</definedName>
    <definedName name="Z_223C1DCA_941C_47FC_83AC_426B3DB3086A_.wvu.Rows" localSheetId="1" hidden="1">'Statewide Ref Dispostion'!$4:$5</definedName>
    <definedName name="Z_52F27401_6741_4136_9223_9843499AE81D_.wvu.Cols" localSheetId="5" hidden="1">'All IOU FRZ NTG'!$C:$C,'All IOU FRZ NTG'!$F:$F,'All IOU FRZ NTG'!$J:$J,'All IOU FRZ NTG'!$L:$L,'All IOU FRZ NTG'!$O:$O,'All IOU FRZ NTG'!$V:$V,'All IOU FRZ NTG'!$AA:$AA,'All IOU FRZ NTG'!$AC:$AC,'All IOU FRZ NTG'!$AE:$AE,'All IOU FRZ NTG'!$AG:$AG,'All IOU FRZ NTG'!$AI:$AI,'All IOU FRZ NTG'!$AK:$AK,'All IOU FRZ NTG'!$AM:$AM,'All IOU FRZ NTG'!$AP:$AP,'All IOU FRZ NTG'!$AR:$AR,'All IOU FRZ NTG'!$AT:$AT,'All IOU FRZ NTG'!$AV:$AV</definedName>
    <definedName name="Z_52F27401_6741_4136_9223_9843499AE81D_.wvu.Cols" localSheetId="20" hidden="1">'PGE REF NTG'!$C:$D,'PGE REF NTG'!$G:$G,'PGE REF NTG'!$K:$K,'PGE REF NTG'!$O:$O,'PGE REF NTG'!$R:$R,'PGE REF NTG'!$AC:$AC,'PGE REF NTG'!$AE:$AE,'PGE REF NTG'!$AG:$AG,'PGE REF NTG'!$AI:$AI,'PGE REF NTG'!$AK:$AK,'PGE REF NTG'!$AM:$AM,'PGE REF NTG'!$AO:$AO,'PGE REF NTG'!$AQ:$AQ,'PGE REF NTG'!$AT:$AT,'PGE REF NTG'!$AV:$AV,'PGE REF NTG'!$AX:$AX,'PGE REF NTG'!$BR:$BR</definedName>
    <definedName name="Z_52F27401_6741_4136_9223_9843499AE81D_.wvu.Cols" localSheetId="22" hidden="1">'SDGE REF NTG'!$BA:$BC</definedName>
    <definedName name="Z_52F27401_6741_4136_9223_9843499AE81D_.wvu.Cols" localSheetId="2" hidden="1">'Statewide PGE REF NTG'!#REF!,'Statewide PGE REF NTG'!#REF!,'Statewide PGE REF NTG'!#REF!,'Statewide PGE REF NTG'!#REF!,'Statewide PGE REF NTG'!#REF!,'Statewide PGE REF NTG'!$H:$H,'Statewide PGE REF NTG'!$J:$J,'Statewide PGE REF NTG'!$L:$L,'Statewide PGE REF NTG'!$N:$N,'Statewide PGE REF NTG'!$P:$P,'Statewide PGE REF NTG'!$R:$R,'Statewide PGE REF NTG'!$T:$T,'Statewide PGE REF NTG'!$V:$V,'Statewide PGE REF NTG'!$Y:$Y,'Statewide PGE REF NTG'!$AA:$AA,'Statewide PGE REF NTG'!$AC:$AC,'Statewide PGE REF NTG'!$AW:$AW</definedName>
    <definedName name="Z_52F27401_6741_4136_9223_9843499AE81D_.wvu.Cols" localSheetId="1" hidden="1">'Statewide Ref Dispostion'!$C:$D,'Statewide Ref Dispostion'!$H:$H,'Statewide Ref Dispostion'!$N:$N,'Statewide Ref Dispostion'!$R:$R,'Statewide Ref Dispostion'!$Y:$Y,'Statewide Ref Dispostion'!$AN:$AN,'Statewide Ref Dispostion'!#REF!,'Statewide Ref Dispostion'!#REF!,'Statewide Ref Dispostion'!#REF!,'Statewide Ref Dispostion'!#REF!,'Statewide Ref Dispostion'!#REF!,'Statewide Ref Dispostion'!#REF!,'Statewide Ref Dispostion'!#REF!,'Statewide Ref Dispostion'!#REF!,'Statewide Ref Dispostion'!#REF!,'Statewide Ref Dispostion'!#REF!,'Statewide Ref Dispostion'!#REF!</definedName>
    <definedName name="Z_52F27401_6741_4136_9223_9843499AE81D_.wvu.Cols" localSheetId="4" hidden="1">'Statewide SDGE REF NTG'!$AF:$AH</definedName>
    <definedName name="Z_52F27401_6741_4136_9223_9843499AE81D_.wvu.FilterData" localSheetId="10" hidden="1">'Gross UECs'!$A$1:$B$32</definedName>
    <definedName name="Z_52F27401_6741_4136_9223_9843499AE81D_.wvu.Rows" localSheetId="5" hidden="1">'All IOU FRZ NTG'!$13:$13</definedName>
    <definedName name="Z_7E8F70E7_08A0_442B_A100_F92E13F1F337_.wvu.Cols" localSheetId="5" hidden="1">'All IOU FRZ NTG'!$C:$C,'All IOU FRZ NTG'!$F:$F,'All IOU FRZ NTG'!$J:$J,'All IOU FRZ NTG'!$L:$L,'All IOU FRZ NTG'!$O:$O,'All IOU FRZ NTG'!$V:$V,'All IOU FRZ NTG'!$AA:$AA,'All IOU FRZ NTG'!$AC:$AC,'All IOU FRZ NTG'!$AE:$AE,'All IOU FRZ NTG'!$AG:$AG,'All IOU FRZ NTG'!$AI:$AI,'All IOU FRZ NTG'!$AK:$AK,'All IOU FRZ NTG'!$AM:$AM,'All IOU FRZ NTG'!$AP:$AP,'All IOU FRZ NTG'!$AR:$AR,'All IOU FRZ NTG'!$AT:$AT,'All IOU FRZ NTG'!$AV:$AV</definedName>
    <definedName name="Z_7E8F70E7_08A0_442B_A100_F92E13F1F337_.wvu.Cols" localSheetId="20" hidden="1">'PGE REF NTG'!$C:$D,'PGE REF NTG'!$G:$G,'PGE REF NTG'!$K:$K,'PGE REF NTG'!$O:$O,'PGE REF NTG'!$R:$R,'PGE REF NTG'!$AC:$AC,'PGE REF NTG'!$AE:$AE,'PGE REF NTG'!$AG:$AG,'PGE REF NTG'!$AI:$AI,'PGE REF NTG'!$AK:$AK,'PGE REF NTG'!$AM:$AM,'PGE REF NTG'!$AO:$AO,'PGE REF NTG'!$AQ:$AQ,'PGE REF NTG'!$AT:$AT,'PGE REF NTG'!$AV:$AV,'PGE REF NTG'!$AX:$AX,'PGE REF NTG'!$AZ:$AZ</definedName>
    <definedName name="Z_7E8F70E7_08A0_442B_A100_F92E13F1F337_.wvu.Cols" localSheetId="22" hidden="1">'SDGE REF NTG'!$D:$D,'SDGE REF NTG'!$G:$G,'SDGE REF NTG'!$K:$K,'SDGE REF NTG'!$O:$O,'SDGE REF NTG'!$R:$R,'SDGE REF NTG'!$AC:$AC,'SDGE REF NTG'!$AE:$AE,'SDGE REF NTG'!$AG:$AG,'SDGE REF NTG'!$AI:$AI,'SDGE REF NTG'!$AK:$AK,'SDGE REF NTG'!$AM:$AM,'SDGE REF NTG'!$AO:$AO,'SDGE REF NTG'!$AQ:$AQ,'SDGE REF NTG'!$AT:$AT,'SDGE REF NTG'!$AV:$AV,'SDGE REF NTG'!$AX:$AX,'SDGE REF NTG'!$BA:$BC</definedName>
    <definedName name="Z_7E8F70E7_08A0_442B_A100_F92E13F1F337_.wvu.Cols" localSheetId="2" hidden="1">'Statewide PGE REF NTG'!#REF!,'Statewide PGE REF NTG'!#REF!,'Statewide PGE REF NTG'!#REF!,'Statewide PGE REF NTG'!#REF!,'Statewide PGE REF NTG'!#REF!,'Statewide PGE REF NTG'!$H:$H,'Statewide PGE REF NTG'!$J:$J,'Statewide PGE REF NTG'!$L:$L,'Statewide PGE REF NTG'!$N:$N,'Statewide PGE REF NTG'!$P:$P,'Statewide PGE REF NTG'!$R:$R,'Statewide PGE REF NTG'!$T:$T,'Statewide PGE REF NTG'!$V:$V,'Statewide PGE REF NTG'!$Y:$Y,'Statewide PGE REF NTG'!$AA:$AA,'Statewide PGE REF NTG'!$AC:$AC,'Statewide PGE REF NTG'!$AE:$AE</definedName>
    <definedName name="Z_7E8F70E7_08A0_442B_A100_F92E13F1F337_.wvu.Cols" localSheetId="1" hidden="1">'Statewide Ref Dispostion'!$C:$D,'Statewide Ref Dispostion'!$H:$H,'Statewide Ref Dispostion'!$N:$N,'Statewide Ref Dispostion'!$R:$R,'Statewide Ref Dispostion'!$Y:$Y,'Statewide Ref Dispostion'!$AN:$AN,'Statewide Ref Dispostion'!#REF!,'Statewide Ref Dispostion'!#REF!,'Statewide Ref Dispostion'!#REF!,'Statewide Ref Dispostion'!#REF!,'Statewide Ref Dispostion'!#REF!,'Statewide Ref Dispostion'!#REF!,'Statewide Ref Dispostion'!#REF!,'Statewide Ref Dispostion'!#REF!,'Statewide Ref Dispostion'!#REF!,'Statewide Ref Dispostion'!#REF!,'Statewide Ref Dispostion'!#REF!</definedName>
    <definedName name="Z_7E8F70E7_08A0_442B_A100_F92E13F1F337_.wvu.Cols" localSheetId="4" hidden="1">'Statewide SDGE REF NTG'!#REF!,'Statewide SDGE REF NTG'!#REF!,'Statewide SDGE REF NTG'!#REF!,'Statewide SDGE REF NTG'!#REF!,'Statewide SDGE REF NTG'!#REF!,'Statewide SDGE REF NTG'!$H:$H,'Statewide SDGE REF NTG'!$J:$J,'Statewide SDGE REF NTG'!$L:$L,'Statewide SDGE REF NTG'!$N:$N,'Statewide SDGE REF NTG'!$P:$P,'Statewide SDGE REF NTG'!$R:$R,'Statewide SDGE REF NTG'!$T:$T,'Statewide SDGE REF NTG'!$V:$V,'Statewide SDGE REF NTG'!$Y:$Y,'Statewide SDGE REF NTG'!$AA:$AA,'Statewide SDGE REF NTG'!$AC:$AC,'Statewide SDGE REF NTG'!$AF:$AH</definedName>
    <definedName name="Z_7E8F70E7_08A0_442B_A100_F92E13F1F337_.wvu.FilterData" localSheetId="10" hidden="1">'Gross UECs'!$A$1:$B$32</definedName>
    <definedName name="Z_7E8F70E7_08A0_442B_A100_F92E13F1F337_.wvu.Rows" localSheetId="5" hidden="1">'All IOU FRZ NTG'!$13:$13</definedName>
  </definedNames>
  <calcPr calcId="152511"/>
  <customWorkbookViews>
    <customWorkbookView name="Pinckard, Margaret - Personal View" guid="{7E8F70E7-08A0-442B-A100-F92E13F1F337}" mergeInterval="0" personalView="1" maximized="1" windowWidth="1216" windowHeight="823" tabRatio="774" activeSheetId="4"/>
    <customWorkbookView name="Goitom, Senay - Personal View" guid="{223C1DCA-941C-47FC-83AC-426B3DB3086A}" mergeInterval="0" personalView="1" maximized="1" windowWidth="1596" windowHeight="671" tabRatio="945" activeSheetId="2"/>
    <customWorkbookView name="Margaret Pinckard - Personal View" guid="{BA0BA4AB-C6A1-41FF-8782-C05227E92BEB}" mergeInterval="0" personalView="1" maximized="1" windowWidth="1272" windowHeight="639" tabRatio="774" activeSheetId="7"/>
    <customWorkbookView name="Palmgren, Claire - Personal View" guid="{52F27401-6741-4136-9223-9843499AE81D}" mergeInterval="0" personalView="1" maximized="1" windowWidth="1732" windowHeight="883" tabRatio="884" activeSheetId="2" showComments="commIndAndComment"/>
  </customWorkbookViews>
  <pivotCaches>
    <pivotCache cacheId="0" r:id="rId26"/>
  </pivotCaches>
</workbook>
</file>

<file path=xl/calcChain.xml><?xml version="1.0" encoding="utf-8"?>
<calcChain xmlns="http://schemas.openxmlformats.org/spreadsheetml/2006/main">
  <c r="X15" i="5" l="1"/>
  <c r="AA23" i="18" l="1"/>
  <c r="AA15" i="18"/>
  <c r="J21" i="18"/>
  <c r="J22" i="18" s="1"/>
  <c r="J23" i="18" s="1"/>
  <c r="J24" i="18" s="1"/>
  <c r="J25" i="18" s="1"/>
  <c r="J26" i="18" s="1"/>
  <c r="J27" i="18" s="1"/>
  <c r="J28" i="18" s="1"/>
  <c r="J29" i="18" s="1"/>
  <c r="J30" i="18" s="1"/>
  <c r="J12" i="18"/>
  <c r="J13" i="18" s="1"/>
  <c r="J14" i="18" s="1"/>
  <c r="J15" i="18" s="1"/>
  <c r="J16" i="18" s="1"/>
  <c r="J17" i="18" s="1"/>
  <c r="J18" i="18" s="1"/>
  <c r="J19" i="18" s="1"/>
  <c r="D11" i="18"/>
  <c r="D12" i="18" s="1"/>
  <c r="D13" i="18" s="1"/>
  <c r="D14" i="18" s="1"/>
  <c r="D15" i="18" s="1"/>
  <c r="D16" i="18" s="1"/>
  <c r="D17" i="18" s="1"/>
  <c r="D18" i="18" s="1"/>
  <c r="D19" i="18" s="1"/>
  <c r="D20" i="18" s="1"/>
  <c r="D21" i="18" s="1"/>
  <c r="D22" i="18" s="1"/>
  <c r="D23" i="18" s="1"/>
  <c r="D24" i="18" s="1"/>
  <c r="D25" i="18" s="1"/>
  <c r="D26" i="18" s="1"/>
  <c r="D27" i="18" s="1"/>
  <c r="D28" i="18" s="1"/>
  <c r="D29" i="18" s="1"/>
  <c r="D30" i="18" s="1"/>
  <c r="D9" i="18"/>
  <c r="AQ6" i="18"/>
  <c r="AU87" i="13"/>
  <c r="AU86" i="13"/>
  <c r="U16" i="18"/>
  <c r="U17" i="18" s="1"/>
  <c r="U18" i="18" s="1"/>
  <c r="U19" i="18" s="1"/>
  <c r="U11" i="18"/>
  <c r="U12" i="18" s="1"/>
  <c r="U13" i="18" s="1"/>
  <c r="U14" i="18" s="1"/>
  <c r="U15" i="18" s="1"/>
  <c r="S28" i="18" l="1"/>
  <c r="S29" i="18"/>
  <c r="S27" i="18"/>
  <c r="AN87" i="13"/>
  <c r="S16" i="18" s="1"/>
  <c r="S17" i="18" s="1"/>
  <c r="S18" i="18" s="1"/>
  <c r="S19" i="18" s="1"/>
  <c r="AN86" i="13"/>
  <c r="S11" i="18" s="1"/>
  <c r="S12" i="18" s="1"/>
  <c r="S13" i="18" s="1"/>
  <c r="S14" i="18" s="1"/>
  <c r="S15" i="18" s="1"/>
  <c r="AB45" i="19" l="1"/>
  <c r="AM38" i="18"/>
  <c r="AY48" i="18" s="1"/>
  <c r="AY44" i="18" s="1"/>
  <c r="AM37" i="18"/>
  <c r="AW48" i="18" s="1"/>
  <c r="AU48" i="18" l="1"/>
  <c r="AY45" i="18"/>
  <c r="AY46" i="18"/>
  <c r="AY47" i="18"/>
  <c r="F652" i="22"/>
  <c r="F650" i="22"/>
  <c r="F651" i="22"/>
  <c r="G331" i="22" l="1"/>
  <c r="F331" i="22"/>
  <c r="G330" i="22"/>
  <c r="F330" i="22"/>
  <c r="F329" i="22"/>
  <c r="G329" i="22"/>
  <c r="F328" i="22"/>
  <c r="G328" i="22"/>
  <c r="C264" i="22" l="1"/>
  <c r="C265" i="22"/>
  <c r="C266" i="22"/>
  <c r="C267" i="22"/>
  <c r="C268" i="22"/>
  <c r="C263" i="22"/>
  <c r="I71" i="6" l="1"/>
  <c r="I73" i="6"/>
  <c r="I70" i="6"/>
  <c r="I72" i="6"/>
  <c r="K483" i="22"/>
  <c r="N483" i="22"/>
  <c r="M488" i="22"/>
  <c r="M491" i="22"/>
  <c r="N482" i="22"/>
  <c r="J351" i="22"/>
  <c r="J352" i="22"/>
  <c r="J353" i="22"/>
  <c r="J354" i="22"/>
  <c r="J355" i="22"/>
  <c r="J356" i="22"/>
  <c r="J357" i="22"/>
  <c r="J358" i="22"/>
  <c r="J359" i="22"/>
  <c r="J360" i="22"/>
  <c r="J361" i="22"/>
  <c r="J362" i="22"/>
  <c r="J363" i="22"/>
  <c r="J364" i="22"/>
  <c r="E56" i="22"/>
  <c r="I10" i="12" l="1"/>
  <c r="J110" i="6"/>
  <c r="K575" i="22" l="1"/>
  <c r="K576" i="22"/>
  <c r="K577" i="22"/>
  <c r="K578" i="22"/>
  <c r="K579" i="22"/>
  <c r="K580" i="22"/>
  <c r="K581" i="22"/>
  <c r="K582" i="22"/>
  <c r="K583" i="22"/>
  <c r="K584" i="22"/>
  <c r="K585" i="22"/>
  <c r="K586" i="22"/>
  <c r="K587" i="22"/>
  <c r="K588" i="22"/>
  <c r="K589" i="22"/>
  <c r="K590" i="22"/>
  <c r="K591" i="22"/>
  <c r="K592" i="22"/>
  <c r="K593" i="22"/>
  <c r="K594" i="22"/>
  <c r="K595" i="22"/>
  <c r="K596" i="22"/>
  <c r="K574" i="22"/>
  <c r="K545" i="22"/>
  <c r="K546" i="22"/>
  <c r="K547" i="22"/>
  <c r="K548" i="22"/>
  <c r="K549" i="22"/>
  <c r="K550" i="22"/>
  <c r="K551" i="22"/>
  <c r="K552" i="22"/>
  <c r="K553" i="22"/>
  <c r="K554" i="22"/>
  <c r="K555" i="22"/>
  <c r="K556" i="22"/>
  <c r="K557" i="22"/>
  <c r="K558" i="22"/>
  <c r="K559" i="22"/>
  <c r="K560" i="22"/>
  <c r="K561" i="22"/>
  <c r="K562" i="22"/>
  <c r="K563" i="22"/>
  <c r="K564" i="22"/>
  <c r="K565" i="22"/>
  <c r="K566" i="22"/>
  <c r="K544" i="22"/>
  <c r="K517" i="22"/>
  <c r="K518" i="22"/>
  <c r="K519" i="22"/>
  <c r="K520" i="22"/>
  <c r="K521" i="22"/>
  <c r="K522" i="22"/>
  <c r="K523" i="22"/>
  <c r="K524" i="22"/>
  <c r="K525" i="22"/>
  <c r="K526" i="22"/>
  <c r="K527" i="22"/>
  <c r="K528" i="22"/>
  <c r="K529" i="22"/>
  <c r="K530" i="22"/>
  <c r="K531" i="22"/>
  <c r="K532" i="22"/>
  <c r="K533" i="22"/>
  <c r="K534" i="22"/>
  <c r="K535" i="22"/>
  <c r="K536" i="22"/>
  <c r="K537" i="22"/>
  <c r="K538" i="22"/>
  <c r="K516" i="22"/>
  <c r="K454" i="22"/>
  <c r="N454" i="22"/>
  <c r="K455" i="22"/>
  <c r="L455" i="22"/>
  <c r="M455" i="22"/>
  <c r="N455" i="22"/>
  <c r="O455" i="22"/>
  <c r="K456" i="22"/>
  <c r="N456" i="22"/>
  <c r="K457" i="22"/>
  <c r="N457" i="22"/>
  <c r="K458" i="22"/>
  <c r="N458" i="22"/>
  <c r="K459" i="22"/>
  <c r="N459" i="22"/>
  <c r="M460" i="22"/>
  <c r="M464" i="22"/>
  <c r="K465" i="22"/>
  <c r="N465" i="22"/>
  <c r="K466" i="22"/>
  <c r="N466" i="22"/>
  <c r="K467" i="22"/>
  <c r="N467" i="22"/>
  <c r="M468" i="22"/>
  <c r="M471" i="22"/>
  <c r="K472" i="22"/>
  <c r="N472" i="22"/>
  <c r="K473" i="22"/>
  <c r="N473" i="22"/>
  <c r="K474" i="22"/>
  <c r="N474" i="22"/>
  <c r="K475" i="22"/>
  <c r="L475" i="22"/>
  <c r="M475" i="22"/>
  <c r="N475" i="22"/>
  <c r="O475" i="22"/>
  <c r="N453" i="22"/>
  <c r="K423" i="22"/>
  <c r="N423" i="22"/>
  <c r="K424" i="22"/>
  <c r="L424" i="22"/>
  <c r="M424" i="22"/>
  <c r="N424" i="22"/>
  <c r="O424" i="22"/>
  <c r="K425" i="22"/>
  <c r="N425" i="22"/>
  <c r="K426" i="22"/>
  <c r="N426" i="22"/>
  <c r="K427" i="22"/>
  <c r="N427" i="22"/>
  <c r="K428" i="22"/>
  <c r="N428" i="22"/>
  <c r="M429" i="22"/>
  <c r="M433" i="22"/>
  <c r="K434" i="22"/>
  <c r="N434" i="22"/>
  <c r="K435" i="22"/>
  <c r="N435" i="22"/>
  <c r="K436" i="22"/>
  <c r="N436" i="22"/>
  <c r="M437" i="22"/>
  <c r="M440" i="22"/>
  <c r="K441" i="22"/>
  <c r="N441" i="22"/>
  <c r="K442" i="22"/>
  <c r="N442" i="22"/>
  <c r="K443" i="22"/>
  <c r="N443" i="22"/>
  <c r="L444" i="22"/>
  <c r="M444" i="22"/>
  <c r="O444" i="22"/>
  <c r="N422" i="22"/>
  <c r="M203" i="24" l="1"/>
  <c r="M204" i="24"/>
  <c r="M205" i="24"/>
  <c r="M206" i="24"/>
  <c r="M207" i="24"/>
  <c r="M208" i="24"/>
  <c r="M209" i="24"/>
  <c r="M202" i="24"/>
  <c r="S14" i="8"/>
  <c r="E75" i="22"/>
  <c r="J25" i="5"/>
  <c r="J26" i="5"/>
  <c r="J27" i="5"/>
  <c r="J24" i="5"/>
  <c r="I25" i="5"/>
  <c r="I26" i="5"/>
  <c r="I27" i="5"/>
  <c r="I24" i="5"/>
  <c r="J21" i="5"/>
  <c r="J22" i="5" s="1"/>
  <c r="J23" i="5" s="1"/>
  <c r="I21" i="5"/>
  <c r="I22" i="5" s="1"/>
  <c r="I23" i="5" s="1"/>
  <c r="K392" i="22" l="1"/>
  <c r="N392" i="22"/>
  <c r="M393" i="22"/>
  <c r="O393" i="22"/>
  <c r="K394" i="22"/>
  <c r="N394" i="22"/>
  <c r="K395" i="22"/>
  <c r="N395" i="22"/>
  <c r="K396" i="22"/>
  <c r="N396" i="22"/>
  <c r="K397" i="22"/>
  <c r="N397" i="22"/>
  <c r="M398" i="22"/>
  <c r="M402" i="22"/>
  <c r="K403" i="22"/>
  <c r="N403" i="22"/>
  <c r="K404" i="22"/>
  <c r="N404" i="22"/>
  <c r="K405" i="22"/>
  <c r="N405" i="22"/>
  <c r="M406" i="22"/>
  <c r="N406" i="22"/>
  <c r="M409" i="22"/>
  <c r="K410" i="22"/>
  <c r="N410" i="22"/>
  <c r="K411" i="22"/>
  <c r="N411" i="22"/>
  <c r="K412" i="22"/>
  <c r="N412" i="22"/>
  <c r="M413" i="22"/>
  <c r="O413" i="22"/>
  <c r="N391" i="22"/>
  <c r="K307" i="22" l="1"/>
  <c r="K315" i="22"/>
  <c r="R276" i="22"/>
  <c r="R287" i="22"/>
  <c r="AT26" i="18"/>
  <c r="K317" i="22" s="1"/>
  <c r="AT25" i="18"/>
  <c r="R288" i="22" s="1"/>
  <c r="AT24" i="18"/>
  <c r="AT23" i="18"/>
  <c r="K314" i="22" s="1"/>
  <c r="AT22" i="18"/>
  <c r="R285" i="22" s="1"/>
  <c r="AT21" i="18"/>
  <c r="R284" i="22" s="1"/>
  <c r="AT20" i="18"/>
  <c r="R283" i="22" s="1"/>
  <c r="AT19" i="18"/>
  <c r="K310" i="22" s="1"/>
  <c r="AT18" i="18"/>
  <c r="K309" i="22" s="1"/>
  <c r="AT17" i="18"/>
  <c r="K308" i="22" s="1"/>
  <c r="AT16" i="18"/>
  <c r="R279" i="22" s="1"/>
  <c r="AT15" i="18"/>
  <c r="K306" i="22" s="1"/>
  <c r="AT14" i="18"/>
  <c r="R277" i="22" s="1"/>
  <c r="AT13" i="18"/>
  <c r="K304" i="22" s="1"/>
  <c r="AT12" i="18"/>
  <c r="R275" i="22" s="1"/>
  <c r="AT11" i="18"/>
  <c r="K302" i="22" s="1"/>
  <c r="AT10" i="18"/>
  <c r="K301" i="22" s="1"/>
  <c r="AT9" i="18"/>
  <c r="K300" i="22" s="1"/>
  <c r="AT8" i="18"/>
  <c r="K299" i="22" s="1"/>
  <c r="K285" i="22"/>
  <c r="O286" i="22"/>
  <c r="O285" i="22"/>
  <c r="O278" i="22"/>
  <c r="O277" i="22"/>
  <c r="K277" i="22"/>
  <c r="K289" i="22"/>
  <c r="K288" i="22"/>
  <c r="K287" i="22"/>
  <c r="K284" i="22"/>
  <c r="K283" i="22"/>
  <c r="K282" i="22"/>
  <c r="K281" i="22"/>
  <c r="K280" i="22"/>
  <c r="K279" i="22"/>
  <c r="K275" i="22"/>
  <c r="K276" i="22"/>
  <c r="K274" i="22"/>
  <c r="G274" i="22"/>
  <c r="G279" i="22"/>
  <c r="G283" i="22"/>
  <c r="G287" i="22"/>
  <c r="O28" i="18"/>
  <c r="AT28" i="18" s="1"/>
  <c r="K319" i="22" s="1"/>
  <c r="O29" i="18"/>
  <c r="AT29" i="18" s="1"/>
  <c r="K320" i="22" s="1"/>
  <c r="O30" i="18"/>
  <c r="AT30" i="18" s="1"/>
  <c r="K321" i="22" s="1"/>
  <c r="O27" i="18"/>
  <c r="AT27" i="18" s="1"/>
  <c r="K318" i="22" s="1"/>
  <c r="O20" i="18"/>
  <c r="O21" i="18" s="1"/>
  <c r="O22" i="18" s="1"/>
  <c r="O23" i="18" s="1"/>
  <c r="O24" i="18" s="1"/>
  <c r="O25" i="18" s="1"/>
  <c r="O26" i="18" s="1"/>
  <c r="M30" i="18"/>
  <c r="F121" i="6" s="1"/>
  <c r="M27" i="18"/>
  <c r="M20" i="18"/>
  <c r="M21" i="18" s="1"/>
  <c r="M22" i="18" s="1"/>
  <c r="M23" i="18" s="1"/>
  <c r="M24" i="18" s="1"/>
  <c r="M25" i="18" s="1"/>
  <c r="M26" i="18" s="1"/>
  <c r="T6" i="12"/>
  <c r="E264" i="22" s="1"/>
  <c r="T7" i="12"/>
  <c r="E265" i="22" s="1"/>
  <c r="T8" i="12"/>
  <c r="E266" i="22" s="1"/>
  <c r="T9" i="12"/>
  <c r="E267" i="22" s="1"/>
  <c r="T10" i="12"/>
  <c r="T5" i="12"/>
  <c r="E263" i="22" s="1"/>
  <c r="G11" i="12"/>
  <c r="G10" i="12"/>
  <c r="G9" i="12"/>
  <c r="G8" i="12"/>
  <c r="G7" i="12"/>
  <c r="G6" i="12"/>
  <c r="H10" i="12"/>
  <c r="H6" i="12"/>
  <c r="R10" i="12"/>
  <c r="R6" i="12"/>
  <c r="R7" i="12"/>
  <c r="R8" i="12"/>
  <c r="R9" i="12"/>
  <c r="R5" i="12"/>
  <c r="S6" i="12"/>
  <c r="D264" i="22" s="1"/>
  <c r="S7" i="12"/>
  <c r="D265" i="22" s="1"/>
  <c r="S8" i="12"/>
  <c r="D266" i="22" s="1"/>
  <c r="S9" i="12"/>
  <c r="D267" i="22" s="1"/>
  <c r="S10" i="12"/>
  <c r="S5" i="12"/>
  <c r="D263" i="22" s="1"/>
  <c r="J6" i="11"/>
  <c r="J5" i="11"/>
  <c r="J4" i="11"/>
  <c r="J3" i="11"/>
  <c r="E102" i="22"/>
  <c r="E90" i="22"/>
  <c r="E87" i="22"/>
  <c r="E84" i="22"/>
  <c r="E62" i="22"/>
  <c r="E59" i="22"/>
  <c r="E46" i="22"/>
  <c r="E48" i="22" s="1"/>
  <c r="E34" i="22"/>
  <c r="E31" i="22"/>
  <c r="E28" i="22"/>
  <c r="E30" i="22" s="1"/>
  <c r="E110" i="22"/>
  <c r="F110" i="22"/>
  <c r="G110" i="22"/>
  <c r="H110" i="22"/>
  <c r="E111" i="22"/>
  <c r="F111" i="22"/>
  <c r="G111" i="22"/>
  <c r="H111" i="22"/>
  <c r="E112" i="22"/>
  <c r="F112" i="22"/>
  <c r="G112" i="22"/>
  <c r="H112" i="22"/>
  <c r="E113" i="22"/>
  <c r="F113" i="22"/>
  <c r="G113" i="22"/>
  <c r="H113" i="22"/>
  <c r="E114" i="22"/>
  <c r="F114" i="22"/>
  <c r="G114" i="22"/>
  <c r="H114" i="22"/>
  <c r="E115" i="22"/>
  <c r="F115" i="22"/>
  <c r="G115" i="22"/>
  <c r="H115" i="22"/>
  <c r="E116" i="22"/>
  <c r="F116" i="22"/>
  <c r="G116" i="22"/>
  <c r="H116" i="22"/>
  <c r="E117" i="22"/>
  <c r="F117" i="22"/>
  <c r="G117" i="22"/>
  <c r="H117" i="22"/>
  <c r="E118" i="22"/>
  <c r="F118" i="22"/>
  <c r="G118" i="22"/>
  <c r="H118" i="22"/>
  <c r="E119" i="22"/>
  <c r="F119" i="22"/>
  <c r="G119" i="22"/>
  <c r="H119" i="22"/>
  <c r="F109" i="22"/>
  <c r="G109" i="22"/>
  <c r="H109" i="22"/>
  <c r="E109" i="22"/>
  <c r="D611" i="22"/>
  <c r="D612" i="22"/>
  <c r="D610" i="22"/>
  <c r="E5" i="22"/>
  <c r="F5" i="22"/>
  <c r="E6" i="22"/>
  <c r="F6" i="22"/>
  <c r="E7" i="22"/>
  <c r="E8" i="22"/>
  <c r="E9" i="22"/>
  <c r="E10" i="22"/>
  <c r="E11" i="22"/>
  <c r="F11" i="22"/>
  <c r="E4" i="22"/>
  <c r="O209" i="24"/>
  <c r="G11" i="22" s="1"/>
  <c r="O204" i="24"/>
  <c r="G6" i="22" s="1"/>
  <c r="N186" i="24"/>
  <c r="M186" i="24"/>
  <c r="O186" i="24" s="1"/>
  <c r="N208" i="24" s="1"/>
  <c r="O208" i="24" s="1"/>
  <c r="G10" i="22" s="1"/>
  <c r="S10" i="8" s="1"/>
  <c r="N185" i="24"/>
  <c r="O185" i="24" s="1"/>
  <c r="N207" i="24" s="1"/>
  <c r="O207" i="24" s="1"/>
  <c r="G9" i="22" s="1"/>
  <c r="M185" i="24"/>
  <c r="O184" i="24"/>
  <c r="N206" i="24" s="1"/>
  <c r="O206" i="24" s="1"/>
  <c r="G8" i="22" s="1"/>
  <c r="S8" i="8" s="1"/>
  <c r="N184" i="24"/>
  <c r="M184" i="24"/>
  <c r="N183" i="24"/>
  <c r="O183" i="24" s="1"/>
  <c r="N205" i="24" s="1"/>
  <c r="O205" i="24" s="1"/>
  <c r="G7" i="22" s="1"/>
  <c r="M183" i="24"/>
  <c r="N182" i="24"/>
  <c r="M182" i="24"/>
  <c r="O182" i="24" s="1"/>
  <c r="N203" i="24" s="1"/>
  <c r="O203" i="24" s="1"/>
  <c r="G5" i="22" s="1"/>
  <c r="S6" i="8" s="1"/>
  <c r="N181" i="24"/>
  <c r="M181" i="24"/>
  <c r="L76" i="24"/>
  <c r="L75" i="24"/>
  <c r="L77" i="24" s="1"/>
  <c r="Z68" i="24"/>
  <c r="Z67" i="24"/>
  <c r="Z66" i="24"/>
  <c r="Z65" i="24"/>
  <c r="O65" i="24"/>
  <c r="N65" i="24"/>
  <c r="P65" i="24" s="1"/>
  <c r="L65" i="24"/>
  <c r="M65" i="24" s="1"/>
  <c r="K65" i="24"/>
  <c r="Z64" i="24"/>
  <c r="Z63" i="24"/>
  <c r="R50" i="24"/>
  <c r="Q50" i="24"/>
  <c r="R49" i="24"/>
  <c r="Q49" i="24"/>
  <c r="S48" i="24"/>
  <c r="R48" i="24"/>
  <c r="Q48" i="24"/>
  <c r="R47" i="24"/>
  <c r="S47" i="24" s="1"/>
  <c r="Q47" i="24"/>
  <c r="R46" i="24"/>
  <c r="Q46" i="24"/>
  <c r="R45" i="24"/>
  <c r="Q45" i="24"/>
  <c r="R44" i="24"/>
  <c r="S44" i="24" s="1"/>
  <c r="Q44" i="24"/>
  <c r="G44" i="24"/>
  <c r="F44" i="24"/>
  <c r="R43" i="24"/>
  <c r="S43" i="24" s="1"/>
  <c r="Q43" i="24"/>
  <c r="G43" i="24"/>
  <c r="F43" i="24"/>
  <c r="S42" i="24"/>
  <c r="R42" i="24"/>
  <c r="Q42" i="24"/>
  <c r="G42" i="24"/>
  <c r="F42" i="24"/>
  <c r="S41" i="24"/>
  <c r="R41" i="24"/>
  <c r="Q41" i="24"/>
  <c r="L41" i="24"/>
  <c r="M41" i="24" s="1"/>
  <c r="K41" i="24"/>
  <c r="H41" i="24"/>
  <c r="G41" i="24"/>
  <c r="F41" i="24"/>
  <c r="R40" i="24"/>
  <c r="S40" i="24" s="1"/>
  <c r="Q40" i="24"/>
  <c r="L40" i="24"/>
  <c r="K40" i="24"/>
  <c r="G40" i="24"/>
  <c r="F40" i="24"/>
  <c r="R39" i="24"/>
  <c r="S39" i="24" s="1"/>
  <c r="Q39" i="24"/>
  <c r="L39" i="24"/>
  <c r="K39" i="24"/>
  <c r="H39" i="24"/>
  <c r="G39" i="24"/>
  <c r="F39" i="24"/>
  <c r="R38" i="24"/>
  <c r="Q38" i="24"/>
  <c r="L38" i="24"/>
  <c r="K38" i="24"/>
  <c r="G38" i="24"/>
  <c r="F38" i="24"/>
  <c r="C38" i="24"/>
  <c r="B38" i="24"/>
  <c r="A38" i="24"/>
  <c r="R37" i="24"/>
  <c r="S37" i="24" s="1"/>
  <c r="Q37" i="24"/>
  <c r="L37" i="24"/>
  <c r="M37" i="24" s="1"/>
  <c r="K37" i="24"/>
  <c r="G37" i="24"/>
  <c r="H37" i="24" s="1"/>
  <c r="F37" i="24"/>
  <c r="B37" i="24"/>
  <c r="C37" i="24" s="1"/>
  <c r="A37" i="24"/>
  <c r="R36" i="24"/>
  <c r="S36" i="24" s="1"/>
  <c r="Q36" i="24"/>
  <c r="L36" i="24"/>
  <c r="M38" i="24" s="1"/>
  <c r="K36" i="24"/>
  <c r="G36" i="24"/>
  <c r="F36" i="24"/>
  <c r="B36" i="24"/>
  <c r="C36" i="24" s="1"/>
  <c r="A36" i="24"/>
  <c r="H36" i="24" l="1"/>
  <c r="S38" i="24"/>
  <c r="H42" i="24"/>
  <c r="S49" i="24"/>
  <c r="L78" i="24"/>
  <c r="M78" i="24" s="1"/>
  <c r="M79" i="24" s="1"/>
  <c r="F9" i="22"/>
  <c r="R280" i="22"/>
  <c r="M36" i="24"/>
  <c r="H40" i="24"/>
  <c r="H44" i="24"/>
  <c r="O181" i="24"/>
  <c r="N202" i="24" s="1"/>
  <c r="K316" i="22"/>
  <c r="H38" i="24"/>
  <c r="S9" i="8"/>
  <c r="S19" i="8" s="1"/>
  <c r="F8" i="22"/>
  <c r="M28" i="18"/>
  <c r="K312" i="22"/>
  <c r="M40" i="24"/>
  <c r="H43" i="24"/>
  <c r="F7" i="22"/>
  <c r="J113" i="6"/>
  <c r="J112" i="6" s="1"/>
  <c r="I113" i="6"/>
  <c r="I112" i="6" s="1"/>
  <c r="M29" i="18"/>
  <c r="S7" i="8"/>
  <c r="F10" i="22"/>
  <c r="S45" i="24"/>
  <c r="R282" i="22"/>
  <c r="K303" i="22"/>
  <c r="R274" i="22"/>
  <c r="R281" i="22"/>
  <c r="R289" i="22"/>
  <c r="K305" i="22"/>
  <c r="K313" i="22"/>
  <c r="K311" i="22"/>
  <c r="R286" i="22"/>
  <c r="R278" i="22"/>
  <c r="S16" i="8"/>
  <c r="S17" i="8"/>
  <c r="S20" i="8"/>
  <c r="S18" i="8"/>
  <c r="E38" i="22"/>
  <c r="M39" i="24"/>
  <c r="S46" i="24"/>
  <c r="S50" i="24"/>
  <c r="O202" i="24" l="1"/>
  <c r="G4" i="22" s="1"/>
  <c r="F4" i="22"/>
  <c r="E26" i="9"/>
  <c r="E25" i="9"/>
  <c r="E24" i="9"/>
  <c r="F201" i="22"/>
  <c r="F209" i="22"/>
  <c r="E201" i="22"/>
  <c r="E209" i="22"/>
  <c r="I66" i="23"/>
  <c r="R17" i="23" s="1"/>
  <c r="H66" i="23"/>
  <c r="Q17" i="23" s="1"/>
  <c r="I43" i="23"/>
  <c r="H43" i="23"/>
  <c r="J41" i="23"/>
  <c r="J40" i="23"/>
  <c r="J39" i="23"/>
  <c r="J38" i="23"/>
  <c r="K38" i="23" s="1"/>
  <c r="J33" i="23"/>
  <c r="J32" i="23"/>
  <c r="J31" i="23"/>
  <c r="J30" i="23"/>
  <c r="J28" i="23"/>
  <c r="K28" i="23" s="1"/>
  <c r="J27" i="23"/>
  <c r="K27" i="23" s="1"/>
  <c r="J26" i="23"/>
  <c r="K26" i="23" s="1"/>
  <c r="J25" i="23"/>
  <c r="K25" i="23" s="1"/>
  <c r="I21" i="23"/>
  <c r="H21" i="23"/>
  <c r="J19" i="23"/>
  <c r="K19" i="23" s="1"/>
  <c r="J18" i="23"/>
  <c r="K18" i="23" s="1"/>
  <c r="J17" i="23"/>
  <c r="K17" i="23" s="1"/>
  <c r="T16" i="23"/>
  <c r="H208" i="22" s="1"/>
  <c r="R16" i="23"/>
  <c r="F208" i="22" s="1"/>
  <c r="Q16" i="23"/>
  <c r="E208" i="22" s="1"/>
  <c r="J16" i="23"/>
  <c r="K16" i="23" s="1"/>
  <c r="R15" i="23"/>
  <c r="F207" i="22" s="1"/>
  <c r="Q15" i="23"/>
  <c r="E207" i="22" s="1"/>
  <c r="R14" i="23"/>
  <c r="F206" i="22" s="1"/>
  <c r="Q14" i="23"/>
  <c r="E206" i="22" s="1"/>
  <c r="R13" i="23"/>
  <c r="F205" i="22" s="1"/>
  <c r="Q13" i="23"/>
  <c r="E205" i="22" s="1"/>
  <c r="T12" i="23"/>
  <c r="H204" i="22" s="1"/>
  <c r="R12" i="23"/>
  <c r="F204" i="22" s="1"/>
  <c r="Q12" i="23"/>
  <c r="E204" i="22" s="1"/>
  <c r="R11" i="23"/>
  <c r="F203" i="22" s="1"/>
  <c r="Q11" i="23"/>
  <c r="E203" i="22" s="1"/>
  <c r="J11" i="23"/>
  <c r="K11" i="23" s="1"/>
  <c r="R10" i="23"/>
  <c r="F202" i="22" s="1"/>
  <c r="Q10" i="23"/>
  <c r="E202" i="22" s="1"/>
  <c r="J10" i="23"/>
  <c r="K10" i="23" s="1"/>
  <c r="R9" i="23"/>
  <c r="Q9" i="23"/>
  <c r="K9" i="23"/>
  <c r="J9" i="23"/>
  <c r="R8" i="23"/>
  <c r="F200" i="22" s="1"/>
  <c r="Q8" i="23"/>
  <c r="E200" i="22" s="1"/>
  <c r="J8" i="23"/>
  <c r="K8" i="23" s="1"/>
  <c r="R7" i="23"/>
  <c r="F199" i="22" s="1"/>
  <c r="Q7" i="23"/>
  <c r="E199" i="22" s="1"/>
  <c r="R6" i="23"/>
  <c r="F198" i="22" s="1"/>
  <c r="Q6" i="23"/>
  <c r="E198" i="22" s="1"/>
  <c r="J6" i="23"/>
  <c r="K6" i="23" s="1"/>
  <c r="K5" i="23"/>
  <c r="J5" i="23"/>
  <c r="J4" i="23"/>
  <c r="K4" i="23" s="1"/>
  <c r="K3" i="23"/>
  <c r="J3" i="23"/>
  <c r="J7" i="23" s="1"/>
  <c r="J64" i="23"/>
  <c r="J48" i="23"/>
  <c r="J61" i="23"/>
  <c r="J51" i="23"/>
  <c r="J56" i="23"/>
  <c r="J49" i="23"/>
  <c r="J54" i="23"/>
  <c r="J63" i="23"/>
  <c r="J50" i="23"/>
  <c r="J55" i="23"/>
  <c r="J62" i="23"/>
  <c r="J53" i="23"/>
  <c r="K30" i="23" l="1"/>
  <c r="Q223" i="22" s="1"/>
  <c r="P223" i="22"/>
  <c r="K31" i="23"/>
  <c r="Q224" i="22" s="1"/>
  <c r="P224" i="22"/>
  <c r="R18" i="23"/>
  <c r="F210" i="22" s="1"/>
  <c r="K32" i="23"/>
  <c r="Q225" i="22" s="1"/>
  <c r="P225" i="22"/>
  <c r="K33" i="23"/>
  <c r="Q226" i="22" s="1"/>
  <c r="P226" i="22"/>
  <c r="S5" i="8"/>
  <c r="S15" i="8" s="1"/>
  <c r="G12" i="22"/>
  <c r="I4" i="22"/>
  <c r="I7" i="22"/>
  <c r="I9" i="22"/>
  <c r="K51" i="23"/>
  <c r="K55" i="23"/>
  <c r="K48" i="23"/>
  <c r="J52" i="23"/>
  <c r="K50" i="23"/>
  <c r="K54" i="23"/>
  <c r="K56" i="23"/>
  <c r="J65" i="23"/>
  <c r="S16" i="23" s="1"/>
  <c r="G208" i="22" s="1"/>
  <c r="K61" i="23"/>
  <c r="K49" i="23"/>
  <c r="J57" i="23"/>
  <c r="K53" i="23"/>
  <c r="K7" i="23"/>
  <c r="T6" i="23" s="1"/>
  <c r="H198" i="22" s="1"/>
  <c r="S6" i="23"/>
  <c r="G198" i="22" s="1"/>
  <c r="Q18" i="23"/>
  <c r="E210" i="22" s="1"/>
  <c r="J42" i="23"/>
  <c r="S12" i="23" s="1"/>
  <c r="G204" i="22" s="1"/>
  <c r="J20" i="23"/>
  <c r="J34" i="23"/>
  <c r="J12" i="23"/>
  <c r="J29" i="23"/>
  <c r="P227" i="22" l="1"/>
  <c r="S197" i="22"/>
  <c r="K20" i="23"/>
  <c r="T8" i="23" s="1"/>
  <c r="H200" i="22" s="1"/>
  <c r="S8" i="23"/>
  <c r="G200" i="22" s="1"/>
  <c r="K29" i="23"/>
  <c r="T10" i="23" s="1"/>
  <c r="H202" i="22" s="1"/>
  <c r="J43" i="23"/>
  <c r="S10" i="23"/>
  <c r="G202" i="22" s="1"/>
  <c r="K12" i="23"/>
  <c r="T7" i="23" s="1"/>
  <c r="H199" i="22" s="1"/>
  <c r="S7" i="23"/>
  <c r="G199" i="22" s="1"/>
  <c r="K52" i="23"/>
  <c r="T14" i="23" s="1"/>
  <c r="H206" i="22" s="1"/>
  <c r="J66" i="23"/>
  <c r="S14" i="23"/>
  <c r="G206" i="22" s="1"/>
  <c r="K34" i="23"/>
  <c r="S11" i="23"/>
  <c r="G203" i="22" s="1"/>
  <c r="J21" i="23"/>
  <c r="S15" i="23"/>
  <c r="G207" i="22" s="1"/>
  <c r="K57" i="23"/>
  <c r="T15" i="23" s="1"/>
  <c r="H207" i="22" s="1"/>
  <c r="T11" i="23" l="1"/>
  <c r="H203" i="22" s="1"/>
  <c r="Q227" i="22"/>
  <c r="K21" i="23"/>
  <c r="T9" i="23" s="1"/>
  <c r="H201" i="22" s="1"/>
  <c r="S9" i="23"/>
  <c r="G201" i="22" s="1"/>
  <c r="K66" i="23"/>
  <c r="T17" i="23" s="1"/>
  <c r="H209" i="22" s="1"/>
  <c r="S17" i="23"/>
  <c r="G209" i="22" s="1"/>
  <c r="K43" i="23"/>
  <c r="T13" i="23" s="1"/>
  <c r="H205" i="22" s="1"/>
  <c r="S13" i="23"/>
  <c r="G205" i="22" s="1"/>
  <c r="S18" i="23" l="1"/>
  <c r="T18" i="23" l="1"/>
  <c r="H210" i="22" s="1"/>
  <c r="G210" i="22"/>
  <c r="J210" i="22" s="1"/>
  <c r="E104" i="22"/>
  <c r="E92" i="22"/>
  <c r="E77" i="22"/>
  <c r="E64" i="22"/>
  <c r="E66" i="22" l="1"/>
  <c r="E94" i="22"/>
  <c r="E86" i="22"/>
  <c r="E58" i="22"/>
  <c r="E61" i="22"/>
  <c r="D614" i="22"/>
  <c r="E36" i="22"/>
  <c r="E89" i="22" l="1"/>
  <c r="E68" i="22"/>
  <c r="E67" i="22" s="1"/>
  <c r="Q29" i="21"/>
  <c r="N468" i="22" s="1"/>
  <c r="R29" i="21"/>
  <c r="R21" i="21"/>
  <c r="L21" i="21"/>
  <c r="Q21" i="21"/>
  <c r="N460" i="22" s="1"/>
  <c r="K21" i="21"/>
  <c r="K460" i="22" s="1"/>
  <c r="L29" i="21"/>
  <c r="K29" i="21"/>
  <c r="K468" i="22" s="1"/>
  <c r="L21" i="19"/>
  <c r="L29" i="19"/>
  <c r="AE23" i="18"/>
  <c r="N286" i="22" s="1"/>
  <c r="AD23" i="18"/>
  <c r="M286" i="22" s="1"/>
  <c r="AE22" i="18"/>
  <c r="N285" i="22" s="1"/>
  <c r="AD22" i="18"/>
  <c r="M285" i="22" s="1"/>
  <c r="AE15" i="18"/>
  <c r="N278" i="22" s="1"/>
  <c r="AD15" i="18"/>
  <c r="M278" i="22" s="1"/>
  <c r="AE14" i="18"/>
  <c r="N277" i="22" s="1"/>
  <c r="AD14" i="18"/>
  <c r="M277" i="22" s="1"/>
  <c r="Z26" i="18"/>
  <c r="J289" i="22" s="1"/>
  <c r="Y26" i="18"/>
  <c r="I289" i="22" s="1"/>
  <c r="Z25" i="18"/>
  <c r="J288" i="22" s="1"/>
  <c r="Y25" i="18"/>
  <c r="I288" i="22" s="1"/>
  <c r="Z24" i="18"/>
  <c r="J287" i="22" s="1"/>
  <c r="Y24" i="18"/>
  <c r="I287" i="22" s="1"/>
  <c r="Z22" i="18"/>
  <c r="Y22" i="18"/>
  <c r="Z21" i="18"/>
  <c r="J284" i="22" s="1"/>
  <c r="Y21" i="18"/>
  <c r="I284" i="22" s="1"/>
  <c r="Z20" i="18"/>
  <c r="J283" i="22" s="1"/>
  <c r="Y20" i="18"/>
  <c r="I283" i="22" s="1"/>
  <c r="Z19" i="18"/>
  <c r="J282" i="22" s="1"/>
  <c r="Y19" i="18"/>
  <c r="I282" i="22" s="1"/>
  <c r="Z18" i="18"/>
  <c r="J281" i="22" s="1"/>
  <c r="Y18" i="18"/>
  <c r="I281" i="22" s="1"/>
  <c r="Z17" i="18"/>
  <c r="J280" i="22" s="1"/>
  <c r="Y17" i="18"/>
  <c r="I280" i="22" s="1"/>
  <c r="Z16" i="18"/>
  <c r="J279" i="22" s="1"/>
  <c r="Y16" i="18"/>
  <c r="I279" i="22" s="1"/>
  <c r="Z14" i="18"/>
  <c r="Z13" i="18"/>
  <c r="J276" i="22" s="1"/>
  <c r="Z12" i="18"/>
  <c r="J275" i="22" s="1"/>
  <c r="Z11" i="18"/>
  <c r="J274" i="22" s="1"/>
  <c r="Y11" i="18"/>
  <c r="I274" i="22" s="1"/>
  <c r="Y14" i="18"/>
  <c r="Y13" i="18"/>
  <c r="I276" i="22" s="1"/>
  <c r="Y12" i="18"/>
  <c r="I275" i="22" s="1"/>
  <c r="T24" i="18"/>
  <c r="T25" i="18" s="1"/>
  <c r="T26" i="18" s="1"/>
  <c r="R24" i="18"/>
  <c r="R25" i="18" s="1"/>
  <c r="R26" i="18" s="1"/>
  <c r="T20" i="18"/>
  <c r="T21" i="18" s="1"/>
  <c r="T22" i="18" s="1"/>
  <c r="T23" i="18" s="1"/>
  <c r="R20" i="18"/>
  <c r="R21" i="18" s="1"/>
  <c r="R22" i="18" s="1"/>
  <c r="R23" i="18" s="1"/>
  <c r="R16" i="18"/>
  <c r="R11" i="18"/>
  <c r="T16" i="18"/>
  <c r="T11" i="18"/>
  <c r="D255" i="22"/>
  <c r="D254" i="22"/>
  <c r="G118" i="6"/>
  <c r="H10" i="18"/>
  <c r="C46" i="6"/>
  <c r="F279" i="22" l="1"/>
  <c r="T17" i="18"/>
  <c r="T18" i="18" s="1"/>
  <c r="T19" i="18" s="1"/>
  <c r="E274" i="22"/>
  <c r="R12" i="18"/>
  <c r="R13" i="18" s="1"/>
  <c r="R14" i="18" s="1"/>
  <c r="R15" i="18" s="1"/>
  <c r="I277" i="22"/>
  <c r="Y15" i="18"/>
  <c r="J285" i="22"/>
  <c r="Z23" i="18"/>
  <c r="E279" i="22"/>
  <c r="R17" i="18"/>
  <c r="R18" i="18" s="1"/>
  <c r="R19" i="18" s="1"/>
  <c r="F274" i="22"/>
  <c r="T12" i="18"/>
  <c r="T13" i="18" s="1"/>
  <c r="T14" i="18" s="1"/>
  <c r="T15" i="18" s="1"/>
  <c r="I285" i="22"/>
  <c r="Y23" i="18"/>
  <c r="J277" i="22"/>
  <c r="Z15" i="18"/>
  <c r="F253" i="22"/>
  <c r="I10" i="18"/>
  <c r="E283" i="22"/>
  <c r="S20" i="18"/>
  <c r="S21" i="18" s="1"/>
  <c r="S22" i="18" s="1"/>
  <c r="S23" i="18" s="1"/>
  <c r="F283" i="22"/>
  <c r="U20" i="18"/>
  <c r="U21" i="18" s="1"/>
  <c r="U22" i="18" s="1"/>
  <c r="U23" i="18" s="1"/>
  <c r="E287" i="22"/>
  <c r="S24" i="18"/>
  <c r="S25" i="18" s="1"/>
  <c r="S26" i="18" s="1"/>
  <c r="F287" i="22"/>
  <c r="U24" i="18"/>
  <c r="U25" i="18" s="1"/>
  <c r="U26" i="18" s="1"/>
  <c r="E96" i="22"/>
  <c r="E95" i="22" s="1"/>
  <c r="D253" i="22"/>
  <c r="D248" i="22"/>
  <c r="D247" i="22"/>
  <c r="D245" i="22"/>
  <c r="D244" i="22"/>
  <c r="H9" i="18"/>
  <c r="I9" i="18" s="1"/>
  <c r="H8" i="18"/>
  <c r="I8" i="18" s="1"/>
  <c r="C10" i="18"/>
  <c r="C8" i="18"/>
  <c r="R112" i="6"/>
  <c r="R111" i="6"/>
  <c r="Q112" i="6"/>
  <c r="Q111" i="6"/>
  <c r="I111" i="6"/>
  <c r="M111" i="6" s="1"/>
  <c r="I110" i="6"/>
  <c r="J111" i="6"/>
  <c r="S29" i="19"/>
  <c r="O406" i="22" s="1"/>
  <c r="Q32" i="19"/>
  <c r="Q31" i="19"/>
  <c r="N408" i="22" s="1"/>
  <c r="Q30" i="19"/>
  <c r="N407" i="22" s="1"/>
  <c r="Q25" i="19"/>
  <c r="N402" i="22" s="1"/>
  <c r="Q24" i="19"/>
  <c r="N401" i="22" s="1"/>
  <c r="Q23" i="19"/>
  <c r="Q22" i="19"/>
  <c r="N399" i="22" s="1"/>
  <c r="Q21" i="19"/>
  <c r="N398" i="22" s="1"/>
  <c r="O28" i="19"/>
  <c r="O20" i="19"/>
  <c r="K32" i="19"/>
  <c r="K409" i="22" s="1"/>
  <c r="K31" i="19"/>
  <c r="K408" i="22" s="1"/>
  <c r="K30" i="19"/>
  <c r="K407" i="22" s="1"/>
  <c r="K29" i="19"/>
  <c r="K25" i="19"/>
  <c r="K24" i="19"/>
  <c r="K401" i="22" s="1"/>
  <c r="K23" i="19"/>
  <c r="K22" i="19"/>
  <c r="K21" i="19"/>
  <c r="K398" i="22" s="1"/>
  <c r="AD45" i="21"/>
  <c r="AB45" i="21"/>
  <c r="Z45" i="21"/>
  <c r="BH36" i="21"/>
  <c r="AV36" i="21"/>
  <c r="AU36" i="21"/>
  <c r="AT36" i="21"/>
  <c r="AS36" i="21"/>
  <c r="AR36" i="21"/>
  <c r="U36" i="21"/>
  <c r="T36" i="21"/>
  <c r="BH35" i="21"/>
  <c r="AU35" i="21"/>
  <c r="AR35" i="21"/>
  <c r="BH34" i="21"/>
  <c r="AU34" i="21"/>
  <c r="AR34" i="21"/>
  <c r="BH33" i="21"/>
  <c r="AU33" i="21"/>
  <c r="AR33" i="21"/>
  <c r="BH32" i="21"/>
  <c r="AT32" i="21"/>
  <c r="R32" i="21"/>
  <c r="Q32" i="21"/>
  <c r="N471" i="22" s="1"/>
  <c r="L32" i="21"/>
  <c r="K32" i="21"/>
  <c r="BH31" i="21"/>
  <c r="R31" i="21"/>
  <c r="Q31" i="21"/>
  <c r="N470" i="22" s="1"/>
  <c r="L31" i="21"/>
  <c r="K31" i="21"/>
  <c r="BH30" i="21"/>
  <c r="R30" i="21"/>
  <c r="Q30" i="21"/>
  <c r="L30" i="21"/>
  <c r="K30" i="21"/>
  <c r="BH29" i="21"/>
  <c r="AU29" i="21"/>
  <c r="AT29" i="21"/>
  <c r="AR29" i="21"/>
  <c r="S29" i="21"/>
  <c r="BH28" i="21"/>
  <c r="AU28" i="21"/>
  <c r="AR28" i="21"/>
  <c r="O28" i="21"/>
  <c r="BH27" i="21"/>
  <c r="AU27" i="21"/>
  <c r="AR27" i="21"/>
  <c r="BH26" i="21"/>
  <c r="AU26" i="21"/>
  <c r="AR26" i="21"/>
  <c r="BH25" i="21"/>
  <c r="AT25" i="21"/>
  <c r="R25" i="21"/>
  <c r="Q25" i="21"/>
  <c r="N464" i="22" s="1"/>
  <c r="L25" i="21"/>
  <c r="K25" i="21"/>
  <c r="BH24" i="21"/>
  <c r="R24" i="21"/>
  <c r="Q24" i="21"/>
  <c r="L24" i="21"/>
  <c r="K24" i="21"/>
  <c r="BH23" i="21"/>
  <c r="R23" i="21"/>
  <c r="Q23" i="21"/>
  <c r="L23" i="21"/>
  <c r="K23" i="21"/>
  <c r="BH22" i="21"/>
  <c r="R22" i="21"/>
  <c r="Q22" i="21"/>
  <c r="L22" i="21"/>
  <c r="K22" i="21"/>
  <c r="BH21" i="21"/>
  <c r="AU21" i="21"/>
  <c r="AT21" i="21"/>
  <c r="AR21" i="21"/>
  <c r="S21" i="21"/>
  <c r="BH20" i="21"/>
  <c r="AU20" i="21"/>
  <c r="AR20" i="21"/>
  <c r="O20" i="21"/>
  <c r="BH19" i="21"/>
  <c r="AU19" i="21"/>
  <c r="AR19" i="21"/>
  <c r="BH18" i="21"/>
  <c r="AU18" i="21"/>
  <c r="AR18" i="21"/>
  <c r="BH17" i="21"/>
  <c r="AU17" i="21"/>
  <c r="AR17" i="21"/>
  <c r="BH16" i="21"/>
  <c r="AV16" i="21"/>
  <c r="AU16" i="21"/>
  <c r="AT16" i="21"/>
  <c r="AS16" i="21"/>
  <c r="AR16" i="21"/>
  <c r="U16" i="21"/>
  <c r="T16" i="21"/>
  <c r="BH15" i="21"/>
  <c r="AU15" i="21"/>
  <c r="AR15" i="21"/>
  <c r="BH14" i="21"/>
  <c r="AU14" i="21"/>
  <c r="L14" i="21"/>
  <c r="K14" i="21"/>
  <c r="AE12" i="21"/>
  <c r="AC12" i="21"/>
  <c r="AA12" i="21"/>
  <c r="Y12" i="21"/>
  <c r="V12" i="21"/>
  <c r="T12" i="21"/>
  <c r="R12" i="21"/>
  <c r="P12" i="21"/>
  <c r="N12" i="21"/>
  <c r="L12" i="21"/>
  <c r="J12" i="21"/>
  <c r="H12" i="21"/>
  <c r="G8" i="21"/>
  <c r="H7" i="21"/>
  <c r="P18" i="21" s="1"/>
  <c r="G7" i="21"/>
  <c r="O23" i="21" s="1"/>
  <c r="M462" i="22" s="1"/>
  <c r="H6" i="21"/>
  <c r="P22" i="21" s="1"/>
  <c r="G6" i="21"/>
  <c r="O17" i="21" s="1"/>
  <c r="M456" i="22" s="1"/>
  <c r="H5" i="21"/>
  <c r="P20" i="21" s="1"/>
  <c r="G5" i="21"/>
  <c r="AD45" i="20"/>
  <c r="AB45" i="20"/>
  <c r="Z45" i="20"/>
  <c r="BH36" i="20"/>
  <c r="AV36" i="20"/>
  <c r="AT36" i="20"/>
  <c r="AS36" i="20"/>
  <c r="U36" i="20"/>
  <c r="K36" i="20"/>
  <c r="BH35" i="20"/>
  <c r="AU35" i="20"/>
  <c r="AR35" i="20"/>
  <c r="BH34" i="20"/>
  <c r="AU34" i="20"/>
  <c r="AR34" i="20"/>
  <c r="BH33" i="20"/>
  <c r="AU33" i="20"/>
  <c r="AR33" i="20"/>
  <c r="BH32" i="20"/>
  <c r="AT32" i="20"/>
  <c r="R32" i="20"/>
  <c r="Q32" i="20"/>
  <c r="L32" i="20"/>
  <c r="K32" i="20"/>
  <c r="BH31" i="20"/>
  <c r="R31" i="20"/>
  <c r="Q31" i="20"/>
  <c r="L31" i="20"/>
  <c r="K31" i="20"/>
  <c r="BH30" i="20"/>
  <c r="R30" i="20"/>
  <c r="Q30" i="20"/>
  <c r="L30" i="20"/>
  <c r="K30" i="20"/>
  <c r="BH29" i="20"/>
  <c r="AT29" i="20"/>
  <c r="Q29" i="20"/>
  <c r="N437" i="22" s="1"/>
  <c r="K29" i="20"/>
  <c r="BH28" i="20"/>
  <c r="AU28" i="20"/>
  <c r="AR28" i="20"/>
  <c r="BH27" i="20"/>
  <c r="AU27" i="20"/>
  <c r="AR27" i="20"/>
  <c r="BH26" i="20"/>
  <c r="AU26" i="20"/>
  <c r="AR26" i="20"/>
  <c r="BH25" i="20"/>
  <c r="AT25" i="20"/>
  <c r="R25" i="20"/>
  <c r="Q25" i="20"/>
  <c r="N433" i="22" s="1"/>
  <c r="L25" i="20"/>
  <c r="K25" i="20"/>
  <c r="BH24" i="20"/>
  <c r="R24" i="20"/>
  <c r="Q24" i="20"/>
  <c r="L24" i="20"/>
  <c r="K24" i="20"/>
  <c r="K432" i="22" s="1"/>
  <c r="BH23" i="20"/>
  <c r="R23" i="20"/>
  <c r="Q23" i="20"/>
  <c r="N431" i="22" s="1"/>
  <c r="L23" i="20"/>
  <c r="K23" i="20"/>
  <c r="K431" i="22" s="1"/>
  <c r="BH22" i="20"/>
  <c r="R22" i="20"/>
  <c r="Q22" i="20"/>
  <c r="N430" i="22" s="1"/>
  <c r="L22" i="20"/>
  <c r="K22" i="20"/>
  <c r="K430" i="22" s="1"/>
  <c r="BH21" i="20"/>
  <c r="AT21" i="20"/>
  <c r="Q21" i="20"/>
  <c r="N429" i="22" s="1"/>
  <c r="K21" i="20"/>
  <c r="BH20" i="20"/>
  <c r="AU20" i="20"/>
  <c r="AR20" i="20"/>
  <c r="BH19" i="20"/>
  <c r="AU19" i="20"/>
  <c r="AR19" i="20"/>
  <c r="BH18" i="20"/>
  <c r="AU18" i="20"/>
  <c r="AR18" i="20"/>
  <c r="BH17" i="20"/>
  <c r="AU17" i="20"/>
  <c r="AR17" i="20"/>
  <c r="BH16" i="20"/>
  <c r="AV16" i="20"/>
  <c r="AU16" i="20"/>
  <c r="AT16" i="20"/>
  <c r="AS16" i="20"/>
  <c r="AR16" i="20"/>
  <c r="U16" i="20"/>
  <c r="T16" i="20"/>
  <c r="BH15" i="20"/>
  <c r="AU15" i="20"/>
  <c r="AR15" i="20"/>
  <c r="BH14" i="20"/>
  <c r="AU14" i="20"/>
  <c r="L14" i="20"/>
  <c r="K14" i="20"/>
  <c r="AE12" i="20"/>
  <c r="AC12" i="20"/>
  <c r="AA12" i="20"/>
  <c r="Y12" i="20"/>
  <c r="V12" i="20"/>
  <c r="T12" i="20"/>
  <c r="R12" i="20"/>
  <c r="P12" i="20"/>
  <c r="N12" i="20"/>
  <c r="L12" i="20"/>
  <c r="J12" i="20"/>
  <c r="H12" i="20"/>
  <c r="G8" i="20"/>
  <c r="O24" i="20" s="1"/>
  <c r="H7" i="20"/>
  <c r="P18" i="20" s="1"/>
  <c r="G7" i="20"/>
  <c r="H6" i="20"/>
  <c r="P17" i="20" s="1"/>
  <c r="G6" i="20"/>
  <c r="H5" i="20"/>
  <c r="J32" i="20" s="1"/>
  <c r="G5" i="20"/>
  <c r="AD45" i="19"/>
  <c r="Z45" i="19"/>
  <c r="R32" i="19"/>
  <c r="L32" i="19"/>
  <c r="R31" i="19"/>
  <c r="L31" i="19"/>
  <c r="R30" i="19"/>
  <c r="L30" i="19"/>
  <c r="R25" i="19"/>
  <c r="L25" i="19"/>
  <c r="R24" i="19"/>
  <c r="L24" i="19"/>
  <c r="R23" i="19"/>
  <c r="L23" i="19"/>
  <c r="R22" i="19"/>
  <c r="L22" i="19"/>
  <c r="L14" i="19"/>
  <c r="K14" i="19"/>
  <c r="G9" i="19"/>
  <c r="AE12" i="19"/>
  <c r="AC12" i="19"/>
  <c r="AA12" i="19"/>
  <c r="Y12" i="19"/>
  <c r="V12" i="19"/>
  <c r="T12" i="19"/>
  <c r="R12" i="19"/>
  <c r="P12" i="19"/>
  <c r="N12" i="19"/>
  <c r="L12" i="19"/>
  <c r="J12" i="19"/>
  <c r="H12" i="19"/>
  <c r="G7" i="19"/>
  <c r="O27" i="19" s="1"/>
  <c r="H6" i="19"/>
  <c r="P30" i="19" s="1"/>
  <c r="G6" i="19"/>
  <c r="O33" i="19" s="1"/>
  <c r="H5" i="19"/>
  <c r="P17" i="19" s="1"/>
  <c r="G5" i="19"/>
  <c r="O22" i="19" s="1"/>
  <c r="M399" i="22" s="1"/>
  <c r="H4" i="19"/>
  <c r="J32" i="19" s="1"/>
  <c r="G4" i="19"/>
  <c r="I35" i="19" s="1"/>
  <c r="J546" i="22" l="1"/>
  <c r="P424" i="22"/>
  <c r="BG16" i="21"/>
  <c r="P455" i="22"/>
  <c r="J576" i="22"/>
  <c r="J30" i="20"/>
  <c r="AT24" i="20"/>
  <c r="M432" i="22"/>
  <c r="AT20" i="21"/>
  <c r="M459" i="22"/>
  <c r="J373" i="22"/>
  <c r="S28" i="21"/>
  <c r="O467" i="22" s="1"/>
  <c r="M467" i="22"/>
  <c r="J23" i="20"/>
  <c r="AW36" i="20"/>
  <c r="J566" i="22"/>
  <c r="P444" i="22"/>
  <c r="AW36" i="21"/>
  <c r="P475" i="22"/>
  <c r="J596" i="22"/>
  <c r="F245" i="22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F244" i="22"/>
  <c r="C9" i="18"/>
  <c r="F247" i="22"/>
  <c r="AP8" i="18"/>
  <c r="AR8" i="18" s="1"/>
  <c r="F248" i="22"/>
  <c r="AP9" i="18"/>
  <c r="AR9" i="18" s="1"/>
  <c r="J24" i="20"/>
  <c r="P35" i="20"/>
  <c r="J36" i="20"/>
  <c r="J17" i="21"/>
  <c r="AR22" i="21"/>
  <c r="K461" i="22"/>
  <c r="AU24" i="21"/>
  <c r="N463" i="22"/>
  <c r="AR30" i="21"/>
  <c r="K469" i="22"/>
  <c r="AR32" i="21"/>
  <c r="K471" i="22"/>
  <c r="AR14" i="21"/>
  <c r="K453" i="22"/>
  <c r="AR23" i="21"/>
  <c r="K462" i="22"/>
  <c r="AR31" i="21"/>
  <c r="K470" i="22"/>
  <c r="AU31" i="21"/>
  <c r="AV21" i="21"/>
  <c r="O460" i="22"/>
  <c r="AU22" i="21"/>
  <c r="N461" i="22"/>
  <c r="AR24" i="21"/>
  <c r="K463" i="22"/>
  <c r="AU30" i="21"/>
  <c r="N469" i="22"/>
  <c r="J22" i="21"/>
  <c r="AU23" i="21"/>
  <c r="N462" i="22"/>
  <c r="AR25" i="21"/>
  <c r="K464" i="22"/>
  <c r="AV29" i="21"/>
  <c r="O468" i="22"/>
  <c r="J32" i="21"/>
  <c r="AR31" i="20"/>
  <c r="K439" i="22"/>
  <c r="J22" i="20"/>
  <c r="AR24" i="20"/>
  <c r="P26" i="20"/>
  <c r="J27" i="20"/>
  <c r="AR30" i="20"/>
  <c r="K438" i="22"/>
  <c r="AR36" i="20"/>
  <c r="K444" i="22"/>
  <c r="AR22" i="20"/>
  <c r="AR23" i="20"/>
  <c r="AU31" i="20"/>
  <c r="N439" i="22"/>
  <c r="AR14" i="20"/>
  <c r="K422" i="22"/>
  <c r="AR29" i="20"/>
  <c r="K437" i="22"/>
  <c r="AU30" i="20"/>
  <c r="N438" i="22"/>
  <c r="S21" i="20"/>
  <c r="O429" i="22" s="1"/>
  <c r="AR32" i="20"/>
  <c r="K440" i="22"/>
  <c r="J14" i="20"/>
  <c r="AR21" i="20"/>
  <c r="K429" i="22"/>
  <c r="AU21" i="20"/>
  <c r="P23" i="20"/>
  <c r="AU24" i="20"/>
  <c r="N432" i="22"/>
  <c r="AR25" i="20"/>
  <c r="K433" i="22"/>
  <c r="P30" i="20"/>
  <c r="J31" i="20"/>
  <c r="AU32" i="20"/>
  <c r="N440" i="22"/>
  <c r="J33" i="20"/>
  <c r="P34" i="20"/>
  <c r="J35" i="20"/>
  <c r="S20" i="19"/>
  <c r="O397" i="22" s="1"/>
  <c r="E373" i="22"/>
  <c r="M397" i="22"/>
  <c r="S28" i="19"/>
  <c r="O405" i="22" s="1"/>
  <c r="M405" i="22"/>
  <c r="S27" i="19"/>
  <c r="O404" i="22" s="1"/>
  <c r="M404" i="22"/>
  <c r="P15" i="19"/>
  <c r="S21" i="19"/>
  <c r="O398" i="22" s="1"/>
  <c r="P18" i="19"/>
  <c r="J24" i="19"/>
  <c r="J33" i="19"/>
  <c r="K402" i="22"/>
  <c r="S25" i="19"/>
  <c r="O402" i="22" s="1"/>
  <c r="K391" i="22"/>
  <c r="K400" i="22"/>
  <c r="S32" i="19"/>
  <c r="T32" i="19" s="1"/>
  <c r="N409" i="22"/>
  <c r="J20" i="19"/>
  <c r="J21" i="19"/>
  <c r="P35" i="19"/>
  <c r="M35" i="19"/>
  <c r="L412" i="22" s="1"/>
  <c r="J412" i="22"/>
  <c r="S33" i="19"/>
  <c r="O410" i="22" s="1"/>
  <c r="M410" i="22"/>
  <c r="J14" i="19"/>
  <c r="P23" i="19"/>
  <c r="K399" i="22"/>
  <c r="K406" i="22"/>
  <c r="N400" i="22"/>
  <c r="M112" i="6"/>
  <c r="K112" i="6" s="1"/>
  <c r="P22" i="20"/>
  <c r="J21" i="20"/>
  <c r="S24" i="20"/>
  <c r="J25" i="20"/>
  <c r="J26" i="20"/>
  <c r="J29" i="20"/>
  <c r="S32" i="20"/>
  <c r="O440" i="22" s="1"/>
  <c r="P33" i="20"/>
  <c r="J34" i="20"/>
  <c r="S22" i="19"/>
  <c r="O399" i="22" s="1"/>
  <c r="O14" i="19"/>
  <c r="O19" i="19"/>
  <c r="O24" i="19"/>
  <c r="M401" i="22" s="1"/>
  <c r="O30" i="19"/>
  <c r="O35" i="19"/>
  <c r="O18" i="19"/>
  <c r="M395" i="22" s="1"/>
  <c r="O23" i="19"/>
  <c r="M400" i="22" s="1"/>
  <c r="O34" i="19"/>
  <c r="P20" i="19"/>
  <c r="P28" i="19"/>
  <c r="I15" i="19"/>
  <c r="J392" i="22" s="1"/>
  <c r="J22" i="19"/>
  <c r="I27" i="19"/>
  <c r="J15" i="19"/>
  <c r="J18" i="19"/>
  <c r="J23" i="19"/>
  <c r="O15" i="19"/>
  <c r="O26" i="19"/>
  <c r="O31" i="19"/>
  <c r="S31" i="19" s="1"/>
  <c r="O408" i="22" s="1"/>
  <c r="I19" i="19"/>
  <c r="J396" i="22" s="1"/>
  <c r="I25" i="19"/>
  <c r="J402" i="22" s="1"/>
  <c r="I34" i="19"/>
  <c r="O17" i="19"/>
  <c r="M394" i="22" s="1"/>
  <c r="S20" i="21"/>
  <c r="O459" i="22" s="1"/>
  <c r="AT28" i="21"/>
  <c r="T29" i="21"/>
  <c r="O22" i="21"/>
  <c r="O31" i="21"/>
  <c r="M470" i="22" s="1"/>
  <c r="O19" i="21"/>
  <c r="M458" i="22" s="1"/>
  <c r="O27" i="21"/>
  <c r="M466" i="22" s="1"/>
  <c r="O24" i="21"/>
  <c r="M463" i="22" s="1"/>
  <c r="T21" i="21"/>
  <c r="AT23" i="21"/>
  <c r="S23" i="21"/>
  <c r="O462" i="22" s="1"/>
  <c r="AT17" i="21"/>
  <c r="S17" i="21"/>
  <c r="O456" i="22" s="1"/>
  <c r="I32" i="21"/>
  <c r="J471" i="22" s="1"/>
  <c r="I29" i="21"/>
  <c r="J468" i="22" s="1"/>
  <c r="I35" i="21"/>
  <c r="J474" i="22" s="1"/>
  <c r="I30" i="21"/>
  <c r="J469" i="22" s="1"/>
  <c r="I28" i="21"/>
  <c r="J467" i="22" s="1"/>
  <c r="I27" i="21"/>
  <c r="J466" i="22" s="1"/>
  <c r="I26" i="21"/>
  <c r="J465" i="22" s="1"/>
  <c r="I36" i="21"/>
  <c r="J475" i="22" s="1"/>
  <c r="I31" i="21"/>
  <c r="J470" i="22" s="1"/>
  <c r="I22" i="21"/>
  <c r="J461" i="22" s="1"/>
  <c r="I20" i="21"/>
  <c r="J459" i="22" s="1"/>
  <c r="I19" i="21"/>
  <c r="J458" i="22" s="1"/>
  <c r="I18" i="21"/>
  <c r="J457" i="22" s="1"/>
  <c r="I25" i="21"/>
  <c r="J464" i="22" s="1"/>
  <c r="I23" i="21"/>
  <c r="J462" i="22" s="1"/>
  <c r="I21" i="21"/>
  <c r="J460" i="22" s="1"/>
  <c r="AT31" i="21"/>
  <c r="S31" i="21"/>
  <c r="O470" i="22" s="1"/>
  <c r="O33" i="21"/>
  <c r="M472" i="22" s="1"/>
  <c r="I15" i="21"/>
  <c r="J454" i="22" s="1"/>
  <c r="I16" i="21"/>
  <c r="J455" i="22" s="1"/>
  <c r="J19" i="21"/>
  <c r="J26" i="21"/>
  <c r="I14" i="21"/>
  <c r="J453" i="22" s="1"/>
  <c r="J15" i="21"/>
  <c r="J16" i="21"/>
  <c r="I24" i="21"/>
  <c r="J463" i="22" s="1"/>
  <c r="S25" i="21"/>
  <c r="O464" i="22" s="1"/>
  <c r="AU25" i="21"/>
  <c r="I34" i="21"/>
  <c r="J473" i="22" s="1"/>
  <c r="O34" i="21"/>
  <c r="M473" i="22" s="1"/>
  <c r="O26" i="21"/>
  <c r="M465" i="22" s="1"/>
  <c r="O35" i="21"/>
  <c r="M474" i="22" s="1"/>
  <c r="O30" i="21"/>
  <c r="M469" i="22" s="1"/>
  <c r="O18" i="21"/>
  <c r="M457" i="22" s="1"/>
  <c r="O14" i="21"/>
  <c r="M453" i="22" s="1"/>
  <c r="O15" i="21"/>
  <c r="M454" i="22" s="1"/>
  <c r="J36" i="21"/>
  <c r="J31" i="21"/>
  <c r="J29" i="21"/>
  <c r="P28" i="21"/>
  <c r="T28" i="21" s="1"/>
  <c r="J33" i="21"/>
  <c r="J35" i="21"/>
  <c r="J30" i="21"/>
  <c r="J27" i="21"/>
  <c r="J25" i="21"/>
  <c r="J23" i="21"/>
  <c r="J21" i="21"/>
  <c r="J28" i="21"/>
  <c r="P30" i="21"/>
  <c r="P35" i="21"/>
  <c r="T35" i="21" s="1"/>
  <c r="P26" i="21"/>
  <c r="P34" i="21"/>
  <c r="P33" i="21"/>
  <c r="P14" i="21"/>
  <c r="P15" i="21"/>
  <c r="J14" i="21"/>
  <c r="X16" i="21"/>
  <c r="L576" i="22" s="1"/>
  <c r="AW16" i="21"/>
  <c r="I17" i="21"/>
  <c r="J456" i="22" s="1"/>
  <c r="P17" i="21"/>
  <c r="J18" i="21"/>
  <c r="J20" i="21"/>
  <c r="P23" i="21"/>
  <c r="J24" i="21"/>
  <c r="AV28" i="21"/>
  <c r="I33" i="21"/>
  <c r="J472" i="22" s="1"/>
  <c r="J34" i="21"/>
  <c r="X36" i="21"/>
  <c r="L596" i="22" s="1"/>
  <c r="BG36" i="21"/>
  <c r="S32" i="21"/>
  <c r="O471" i="22" s="1"/>
  <c r="AU32" i="21"/>
  <c r="I31" i="20"/>
  <c r="J439" i="22" s="1"/>
  <c r="I30" i="20"/>
  <c r="J438" i="22" s="1"/>
  <c r="I28" i="20"/>
  <c r="J436" i="22" s="1"/>
  <c r="I21" i="20"/>
  <c r="J429" i="22" s="1"/>
  <c r="I32" i="20"/>
  <c r="J440" i="22" s="1"/>
  <c r="I27" i="20"/>
  <c r="J435" i="22" s="1"/>
  <c r="I26" i="20"/>
  <c r="J434" i="22" s="1"/>
  <c r="I20" i="20"/>
  <c r="J428" i="22" s="1"/>
  <c r="I19" i="20"/>
  <c r="J427" i="22" s="1"/>
  <c r="I18" i="20"/>
  <c r="J426" i="22" s="1"/>
  <c r="I17" i="20"/>
  <c r="J425" i="22" s="1"/>
  <c r="O15" i="20"/>
  <c r="M423" i="22" s="1"/>
  <c r="O14" i="20"/>
  <c r="M422" i="22" s="1"/>
  <c r="I36" i="20"/>
  <c r="J444" i="22" s="1"/>
  <c r="I34" i="20"/>
  <c r="J442" i="22" s="1"/>
  <c r="I29" i="20"/>
  <c r="J437" i="22" s="1"/>
  <c r="I25" i="20"/>
  <c r="J433" i="22" s="1"/>
  <c r="I22" i="20"/>
  <c r="J430" i="22" s="1"/>
  <c r="I23" i="20"/>
  <c r="J431" i="22" s="1"/>
  <c r="O35" i="20"/>
  <c r="M443" i="22" s="1"/>
  <c r="O34" i="20"/>
  <c r="M442" i="22" s="1"/>
  <c r="O33" i="20"/>
  <c r="M441" i="22" s="1"/>
  <c r="O23" i="20"/>
  <c r="S23" i="20" s="1"/>
  <c r="O431" i="22" s="1"/>
  <c r="O30" i="20"/>
  <c r="M438" i="22" s="1"/>
  <c r="O26" i="20"/>
  <c r="M434" i="22" s="1"/>
  <c r="O18" i="20"/>
  <c r="M426" i="22" s="1"/>
  <c r="AU25" i="20"/>
  <c r="S25" i="20"/>
  <c r="O433" i="22" s="1"/>
  <c r="I33" i="20"/>
  <c r="J441" i="22" s="1"/>
  <c r="I14" i="20"/>
  <c r="J422" i="22" s="1"/>
  <c r="AW16" i="20"/>
  <c r="BG16" i="20"/>
  <c r="X16" i="20"/>
  <c r="L546" i="22" s="1"/>
  <c r="I24" i="20"/>
  <c r="J432" i="22" s="1"/>
  <c r="I15" i="20"/>
  <c r="J423" i="22" s="1"/>
  <c r="I35" i="20"/>
  <c r="J443" i="22" s="1"/>
  <c r="I16" i="20"/>
  <c r="J424" i="22" s="1"/>
  <c r="AV21" i="20"/>
  <c r="T21" i="20"/>
  <c r="AU23" i="20"/>
  <c r="O28" i="20"/>
  <c r="M436" i="22" s="1"/>
  <c r="O22" i="20"/>
  <c r="O17" i="20"/>
  <c r="M425" i="22" s="1"/>
  <c r="O19" i="20"/>
  <c r="M427" i="22" s="1"/>
  <c r="O20" i="20"/>
  <c r="O27" i="20"/>
  <c r="M435" i="22" s="1"/>
  <c r="S29" i="20"/>
  <c r="O437" i="22" s="1"/>
  <c r="AU29" i="20"/>
  <c r="O31" i="20"/>
  <c r="M439" i="22" s="1"/>
  <c r="BG36" i="20"/>
  <c r="AU22" i="20"/>
  <c r="X36" i="20"/>
  <c r="L566" i="22" s="1"/>
  <c r="P14" i="20"/>
  <c r="J15" i="20"/>
  <c r="P15" i="20"/>
  <c r="J16" i="20"/>
  <c r="J17" i="20"/>
  <c r="J18" i="20"/>
  <c r="J19" i="20"/>
  <c r="J20" i="20"/>
  <c r="J28" i="20"/>
  <c r="I21" i="19"/>
  <c r="I29" i="19"/>
  <c r="P22" i="19"/>
  <c r="T29" i="19"/>
  <c r="I31" i="19"/>
  <c r="I33" i="19"/>
  <c r="I32" i="19"/>
  <c r="I28" i="19"/>
  <c r="I26" i="19"/>
  <c r="I23" i="19"/>
  <c r="I30" i="19"/>
  <c r="I24" i="19"/>
  <c r="I22" i="19"/>
  <c r="I14" i="19"/>
  <c r="I17" i="19"/>
  <c r="I18" i="19"/>
  <c r="I20" i="19"/>
  <c r="J34" i="19"/>
  <c r="J35" i="19"/>
  <c r="J30" i="19"/>
  <c r="J27" i="19"/>
  <c r="J29" i="19"/>
  <c r="J28" i="19"/>
  <c r="J26" i="19"/>
  <c r="P34" i="19"/>
  <c r="P33" i="19"/>
  <c r="P26" i="19"/>
  <c r="P14" i="19"/>
  <c r="J17" i="19"/>
  <c r="J19" i="19"/>
  <c r="J25" i="19"/>
  <c r="J31" i="19"/>
  <c r="N112" i="6" l="1"/>
  <c r="V112" i="6" s="1"/>
  <c r="N75" i="6" s="1"/>
  <c r="T20" i="21"/>
  <c r="AV20" i="21"/>
  <c r="H15" i="19"/>
  <c r="H15" i="20"/>
  <c r="J300" i="22"/>
  <c r="H14" i="20"/>
  <c r="H14" i="19"/>
  <c r="J299" i="22"/>
  <c r="U112" i="6"/>
  <c r="AT22" i="21"/>
  <c r="M461" i="22"/>
  <c r="T24" i="20"/>
  <c r="O432" i="22"/>
  <c r="AT22" i="20"/>
  <c r="M430" i="22"/>
  <c r="M428" i="22"/>
  <c r="G373" i="22"/>
  <c r="AV32" i="20"/>
  <c r="T32" i="20"/>
  <c r="AT23" i="20"/>
  <c r="M431" i="22"/>
  <c r="T25" i="19"/>
  <c r="S24" i="19"/>
  <c r="O401" i="22" s="1"/>
  <c r="S23" i="19"/>
  <c r="O400" i="22" s="1"/>
  <c r="S19" i="19"/>
  <c r="O396" i="22" s="1"/>
  <c r="M396" i="22"/>
  <c r="M408" i="22"/>
  <c r="M24" i="19"/>
  <c r="L401" i="22" s="1"/>
  <c r="J401" i="22"/>
  <c r="M27" i="19"/>
  <c r="L404" i="22" s="1"/>
  <c r="J404" i="22"/>
  <c r="S35" i="19"/>
  <c r="O412" i="22" s="1"/>
  <c r="M412" i="22"/>
  <c r="S14" i="19"/>
  <c r="O391" i="22" s="1"/>
  <c r="M391" i="22"/>
  <c r="M17" i="19"/>
  <c r="L394" i="22" s="1"/>
  <c r="J394" i="22"/>
  <c r="M30" i="19"/>
  <c r="L407" i="22" s="1"/>
  <c r="J407" i="22"/>
  <c r="M32" i="19"/>
  <c r="L409" i="22" s="1"/>
  <c r="J409" i="22"/>
  <c r="M14" i="19"/>
  <c r="J391" i="22"/>
  <c r="M23" i="19"/>
  <c r="L400" i="22" s="1"/>
  <c r="J400" i="22"/>
  <c r="M33" i="19"/>
  <c r="L410" i="22" s="1"/>
  <c r="J410" i="22"/>
  <c r="M29" i="19"/>
  <c r="L406" i="22" s="1"/>
  <c r="J406" i="22"/>
  <c r="S26" i="19"/>
  <c r="O403" i="22" s="1"/>
  <c r="M403" i="22"/>
  <c r="O409" i="22"/>
  <c r="M18" i="19"/>
  <c r="L395" i="22" s="1"/>
  <c r="J395" i="22"/>
  <c r="M28" i="19"/>
  <c r="L405" i="22" s="1"/>
  <c r="J405" i="22"/>
  <c r="M34" i="19"/>
  <c r="L411" i="22" s="1"/>
  <c r="J411" i="22"/>
  <c r="S34" i="19"/>
  <c r="O411" i="22" s="1"/>
  <c r="M411" i="22"/>
  <c r="M407" i="22"/>
  <c r="M20" i="19"/>
  <c r="L397" i="22" s="1"/>
  <c r="J397" i="22"/>
  <c r="M22" i="19"/>
  <c r="L399" i="22" s="1"/>
  <c r="J399" i="22"/>
  <c r="M26" i="19"/>
  <c r="L403" i="22" s="1"/>
  <c r="J403" i="22"/>
  <c r="M31" i="19"/>
  <c r="L408" i="22" s="1"/>
  <c r="J408" i="22"/>
  <c r="M21" i="19"/>
  <c r="L398" i="22" s="1"/>
  <c r="J398" i="22"/>
  <c r="S15" i="19"/>
  <c r="O392" i="22" s="1"/>
  <c r="M392" i="22"/>
  <c r="AV24" i="20"/>
  <c r="M25" i="19"/>
  <c r="L402" i="22" s="1"/>
  <c r="S30" i="19"/>
  <c r="O407" i="22" s="1"/>
  <c r="M19" i="19"/>
  <c r="M15" i="19"/>
  <c r="L392" i="22" s="1"/>
  <c r="S17" i="19"/>
  <c r="S18" i="19"/>
  <c r="O395" i="22" s="1"/>
  <c r="S22" i="21"/>
  <c r="AQ17" i="21"/>
  <c r="M17" i="21"/>
  <c r="L456" i="22" s="1"/>
  <c r="AT15" i="21"/>
  <c r="S15" i="21"/>
  <c r="O454" i="22" s="1"/>
  <c r="AT35" i="21"/>
  <c r="S35" i="21"/>
  <c r="AQ16" i="21"/>
  <c r="N16" i="21"/>
  <c r="V16" i="21" s="1"/>
  <c r="M23" i="21"/>
  <c r="L462" i="22" s="1"/>
  <c r="AQ23" i="21"/>
  <c r="AQ20" i="21"/>
  <c r="M20" i="21"/>
  <c r="L459" i="22" s="1"/>
  <c r="AQ26" i="21"/>
  <c r="M26" i="21"/>
  <c r="L465" i="22" s="1"/>
  <c r="M35" i="21"/>
  <c r="L474" i="22" s="1"/>
  <c r="AQ35" i="21"/>
  <c r="AV23" i="21"/>
  <c r="T23" i="21"/>
  <c r="T32" i="21"/>
  <c r="AV32" i="21"/>
  <c r="M33" i="21"/>
  <c r="L472" i="22" s="1"/>
  <c r="AQ33" i="21"/>
  <c r="BI16" i="21"/>
  <c r="AT18" i="21"/>
  <c r="S18" i="21"/>
  <c r="O457" i="22" s="1"/>
  <c r="AT34" i="21"/>
  <c r="S34" i="21"/>
  <c r="O473" i="22" s="1"/>
  <c r="AQ24" i="21"/>
  <c r="M24" i="21"/>
  <c r="L463" i="22" s="1"/>
  <c r="S19" i="21"/>
  <c r="O458" i="22" s="1"/>
  <c r="AT19" i="21"/>
  <c r="AT33" i="21"/>
  <c r="S33" i="21"/>
  <c r="O472" i="22" s="1"/>
  <c r="AQ18" i="21"/>
  <c r="M18" i="21"/>
  <c r="L457" i="22" s="1"/>
  <c r="M31" i="21"/>
  <c r="L470" i="22" s="1"/>
  <c r="AQ31" i="21"/>
  <c r="AQ28" i="21"/>
  <c r="M28" i="21"/>
  <c r="L467" i="22" s="1"/>
  <c r="M32" i="21"/>
  <c r="L471" i="22" s="1"/>
  <c r="AQ32" i="21"/>
  <c r="BI36" i="21"/>
  <c r="S30" i="21"/>
  <c r="O469" i="22" s="1"/>
  <c r="AT30" i="21"/>
  <c r="M34" i="21"/>
  <c r="L473" i="22" s="1"/>
  <c r="AQ34" i="21"/>
  <c r="AT24" i="21"/>
  <c r="S24" i="21"/>
  <c r="O463" i="22" s="1"/>
  <c r="AV31" i="21"/>
  <c r="T31" i="21"/>
  <c r="AQ21" i="21"/>
  <c r="M21" i="21"/>
  <c r="L460" i="22" s="1"/>
  <c r="AQ19" i="21"/>
  <c r="M19" i="21"/>
  <c r="L458" i="22" s="1"/>
  <c r="N36" i="21"/>
  <c r="V36" i="21" s="1"/>
  <c r="AQ36" i="21"/>
  <c r="AQ30" i="21"/>
  <c r="M30" i="21"/>
  <c r="L469" i="22" s="1"/>
  <c r="T17" i="21"/>
  <c r="AV17" i="21"/>
  <c r="AT27" i="21"/>
  <c r="S27" i="21"/>
  <c r="O466" i="22" s="1"/>
  <c r="AT14" i="21"/>
  <c r="S14" i="21"/>
  <c r="O453" i="22" s="1"/>
  <c r="S26" i="21"/>
  <c r="O465" i="22" s="1"/>
  <c r="AT26" i="21"/>
  <c r="T25" i="21"/>
  <c r="AV25" i="21"/>
  <c r="AQ14" i="21"/>
  <c r="M14" i="21"/>
  <c r="L453" i="22" s="1"/>
  <c r="M15" i="21"/>
  <c r="L454" i="22" s="1"/>
  <c r="AQ15" i="21"/>
  <c r="M25" i="21"/>
  <c r="L464" i="22" s="1"/>
  <c r="AQ25" i="21"/>
  <c r="M22" i="21"/>
  <c r="L461" i="22" s="1"/>
  <c r="AQ22" i="21"/>
  <c r="AQ27" i="21"/>
  <c r="M27" i="21"/>
  <c r="L466" i="22" s="1"/>
  <c r="M29" i="21"/>
  <c r="L468" i="22" s="1"/>
  <c r="AQ29" i="21"/>
  <c r="S22" i="20"/>
  <c r="O430" i="22" s="1"/>
  <c r="N16" i="20"/>
  <c r="V16" i="20" s="1"/>
  <c r="AQ16" i="20"/>
  <c r="S30" i="20"/>
  <c r="O438" i="22" s="1"/>
  <c r="AT30" i="20"/>
  <c r="AT35" i="20"/>
  <c r="S35" i="20"/>
  <c r="O443" i="22" s="1"/>
  <c r="AQ29" i="20"/>
  <c r="M29" i="20"/>
  <c r="L437" i="22" s="1"/>
  <c r="AT15" i="20"/>
  <c r="S15" i="20"/>
  <c r="O423" i="22" s="1"/>
  <c r="M20" i="20"/>
  <c r="L428" i="22" s="1"/>
  <c r="AQ20" i="20"/>
  <c r="AQ21" i="20"/>
  <c r="M21" i="20"/>
  <c r="L429" i="22" s="1"/>
  <c r="BI36" i="20"/>
  <c r="T29" i="20"/>
  <c r="AV29" i="20"/>
  <c r="AT20" i="20"/>
  <c r="S20" i="20"/>
  <c r="O428" i="22" s="1"/>
  <c r="AT28" i="20"/>
  <c r="S28" i="20"/>
  <c r="O436" i="22" s="1"/>
  <c r="AV23" i="20"/>
  <c r="T23" i="20"/>
  <c r="AQ35" i="20"/>
  <c r="M35" i="20"/>
  <c r="L443" i="22" s="1"/>
  <c r="AQ24" i="20"/>
  <c r="M24" i="20"/>
  <c r="L432" i="22" s="1"/>
  <c r="AQ23" i="20"/>
  <c r="M23" i="20"/>
  <c r="L431" i="22" s="1"/>
  <c r="AQ34" i="20"/>
  <c r="M34" i="20"/>
  <c r="L442" i="22" s="1"/>
  <c r="AQ17" i="20"/>
  <c r="M17" i="20"/>
  <c r="L425" i="22" s="1"/>
  <c r="AQ26" i="20"/>
  <c r="M26" i="20"/>
  <c r="L434" i="22" s="1"/>
  <c r="AQ28" i="20"/>
  <c r="M28" i="20"/>
  <c r="L436" i="22" s="1"/>
  <c r="S27" i="20"/>
  <c r="O435" i="22" s="1"/>
  <c r="AT27" i="20"/>
  <c r="AT19" i="20"/>
  <c r="S19" i="20"/>
  <c r="O427" i="22" s="1"/>
  <c r="AQ15" i="20"/>
  <c r="M15" i="20"/>
  <c r="L423" i="22" s="1"/>
  <c r="BI16" i="20"/>
  <c r="AQ14" i="20"/>
  <c r="M14" i="20"/>
  <c r="L422" i="22" s="1"/>
  <c r="AT18" i="20"/>
  <c r="S18" i="20"/>
  <c r="O426" i="22" s="1"/>
  <c r="AT33" i="20"/>
  <c r="S33" i="20"/>
  <c r="O441" i="22" s="1"/>
  <c r="M22" i="20"/>
  <c r="L430" i="22" s="1"/>
  <c r="AQ22" i="20"/>
  <c r="N36" i="20"/>
  <c r="AQ36" i="20"/>
  <c r="AQ18" i="20"/>
  <c r="M18" i="20"/>
  <c r="L426" i="22" s="1"/>
  <c r="AQ27" i="20"/>
  <c r="M27" i="20"/>
  <c r="L435" i="22" s="1"/>
  <c r="M30" i="20"/>
  <c r="L438" i="22" s="1"/>
  <c r="AQ30" i="20"/>
  <c r="AT31" i="20"/>
  <c r="S31" i="20"/>
  <c r="O439" i="22" s="1"/>
  <c r="AT17" i="20"/>
  <c r="S17" i="20"/>
  <c r="O425" i="22" s="1"/>
  <c r="AQ33" i="20"/>
  <c r="M33" i="20"/>
  <c r="L441" i="22" s="1"/>
  <c r="T25" i="20"/>
  <c r="AV25" i="20"/>
  <c r="AT26" i="20"/>
  <c r="S26" i="20"/>
  <c r="O434" i="22" s="1"/>
  <c r="S34" i="20"/>
  <c r="O442" i="22" s="1"/>
  <c r="AT34" i="20"/>
  <c r="M25" i="20"/>
  <c r="L433" i="22" s="1"/>
  <c r="AQ25" i="20"/>
  <c r="S14" i="20"/>
  <c r="O422" i="22" s="1"/>
  <c r="AT14" i="20"/>
  <c r="M19" i="20"/>
  <c r="L427" i="22" s="1"/>
  <c r="AQ19" i="20"/>
  <c r="AQ32" i="20"/>
  <c r="M32" i="20"/>
  <c r="L440" i="22" s="1"/>
  <c r="M31" i="20"/>
  <c r="L439" i="22" s="1"/>
  <c r="AQ31" i="20"/>
  <c r="T31" i="19"/>
  <c r="T24" i="19"/>
  <c r="N35" i="19"/>
  <c r="T22" i="19"/>
  <c r="T20" i="19"/>
  <c r="L391" i="22" l="1"/>
  <c r="N14" i="19"/>
  <c r="F120" i="6"/>
  <c r="M75" i="6"/>
  <c r="AV22" i="21"/>
  <c r="O461" i="22"/>
  <c r="AV35" i="21"/>
  <c r="O474" i="22"/>
  <c r="T18" i="19"/>
  <c r="N27" i="19"/>
  <c r="N15" i="19"/>
  <c r="T17" i="19"/>
  <c r="O394" i="22"/>
  <c r="N34" i="19"/>
  <c r="N25" i="19"/>
  <c r="V25" i="19" s="1"/>
  <c r="Y25" i="19" s="1"/>
  <c r="N19" i="19"/>
  <c r="L396" i="22"/>
  <c r="U25" i="19"/>
  <c r="T22" i="21"/>
  <c r="AS25" i="21"/>
  <c r="U25" i="21"/>
  <c r="N25" i="21"/>
  <c r="V25" i="21" s="1"/>
  <c r="Y25" i="21" s="1"/>
  <c r="AV34" i="21"/>
  <c r="T34" i="21"/>
  <c r="U20" i="21"/>
  <c r="N20" i="21"/>
  <c r="AS20" i="21"/>
  <c r="T15" i="21"/>
  <c r="AV15" i="21"/>
  <c r="U33" i="21"/>
  <c r="N33" i="21"/>
  <c r="AS33" i="21"/>
  <c r="AS35" i="21"/>
  <c r="U35" i="21"/>
  <c r="N35" i="21"/>
  <c r="V35" i="21" s="1"/>
  <c r="Y35" i="21" s="1"/>
  <c r="AS29" i="21"/>
  <c r="N29" i="21"/>
  <c r="V29" i="21" s="1"/>
  <c r="Y29" i="21" s="1"/>
  <c r="U29" i="21"/>
  <c r="U22" i="21"/>
  <c r="N22" i="21"/>
  <c r="AS22" i="21"/>
  <c r="AS15" i="21"/>
  <c r="N15" i="21"/>
  <c r="U15" i="21"/>
  <c r="U32" i="21"/>
  <c r="N32" i="21"/>
  <c r="V32" i="21" s="1"/>
  <c r="Y32" i="21" s="1"/>
  <c r="AS32" i="21"/>
  <c r="U31" i="21"/>
  <c r="N31" i="21"/>
  <c r="V31" i="21" s="1"/>
  <c r="Y31" i="21" s="1"/>
  <c r="AS31" i="21"/>
  <c r="AV19" i="21"/>
  <c r="T19" i="21"/>
  <c r="AS24" i="21"/>
  <c r="U24" i="21"/>
  <c r="N24" i="21"/>
  <c r="AV18" i="21"/>
  <c r="T18" i="21"/>
  <c r="U26" i="21"/>
  <c r="N26" i="21"/>
  <c r="AS26" i="21"/>
  <c r="N17" i="21"/>
  <c r="V17" i="21" s="1"/>
  <c r="Y17" i="21" s="1"/>
  <c r="AS17" i="21"/>
  <c r="U17" i="21"/>
  <c r="AV26" i="21"/>
  <c r="T26" i="21"/>
  <c r="AV27" i="21"/>
  <c r="T27" i="21"/>
  <c r="T14" i="21"/>
  <c r="AV14" i="21"/>
  <c r="AS21" i="21"/>
  <c r="N21" i="21"/>
  <c r="V21" i="21" s="1"/>
  <c r="Y21" i="21" s="1"/>
  <c r="U21" i="21"/>
  <c r="U34" i="21"/>
  <c r="N34" i="21"/>
  <c r="AS34" i="21"/>
  <c r="U27" i="21"/>
  <c r="N27" i="21"/>
  <c r="AS27" i="21"/>
  <c r="U14" i="21"/>
  <c r="N14" i="21"/>
  <c r="AS14" i="21"/>
  <c r="AS30" i="21"/>
  <c r="U30" i="21"/>
  <c r="N30" i="21"/>
  <c r="AS19" i="21"/>
  <c r="U19" i="21"/>
  <c r="N19" i="21"/>
  <c r="T24" i="21"/>
  <c r="AV24" i="21"/>
  <c r="T30" i="21"/>
  <c r="AV30" i="21"/>
  <c r="N28" i="21"/>
  <c r="V28" i="21" s="1"/>
  <c r="Y28" i="21" s="1"/>
  <c r="AS28" i="21"/>
  <c r="U28" i="21"/>
  <c r="U18" i="21"/>
  <c r="N18" i="21"/>
  <c r="AS18" i="21"/>
  <c r="AV33" i="21"/>
  <c r="T33" i="21"/>
  <c r="AS23" i="21"/>
  <c r="N23" i="21"/>
  <c r="V23" i="21" s="1"/>
  <c r="Y23" i="21" s="1"/>
  <c r="U23" i="21"/>
  <c r="AV14" i="20"/>
  <c r="T14" i="20"/>
  <c r="T34" i="20"/>
  <c r="AV34" i="20"/>
  <c r="T31" i="20"/>
  <c r="AV31" i="20"/>
  <c r="AS18" i="20"/>
  <c r="U18" i="20"/>
  <c r="N18" i="20"/>
  <c r="AV18" i="20"/>
  <c r="T18" i="20"/>
  <c r="AV27" i="20"/>
  <c r="T27" i="20"/>
  <c r="AS28" i="20"/>
  <c r="N28" i="20"/>
  <c r="U28" i="20"/>
  <c r="AS17" i="20"/>
  <c r="U17" i="20"/>
  <c r="N17" i="20"/>
  <c r="U23" i="20"/>
  <c r="N23" i="20"/>
  <c r="V23" i="20" s="1"/>
  <c r="Y23" i="20" s="1"/>
  <c r="AS23" i="20"/>
  <c r="N35" i="20"/>
  <c r="AS35" i="20"/>
  <c r="U35" i="20"/>
  <c r="T26" i="20"/>
  <c r="AV26" i="20"/>
  <c r="N33" i="20"/>
  <c r="AS33" i="20"/>
  <c r="U33" i="20"/>
  <c r="U30" i="20"/>
  <c r="AS30" i="20"/>
  <c r="N30" i="20"/>
  <c r="N22" i="20"/>
  <c r="AS22" i="20"/>
  <c r="U22" i="20"/>
  <c r="T19" i="20"/>
  <c r="AV19" i="20"/>
  <c r="T20" i="20"/>
  <c r="AV20" i="20"/>
  <c r="U29" i="20"/>
  <c r="AS29" i="20"/>
  <c r="N29" i="20"/>
  <c r="V29" i="20" s="1"/>
  <c r="Y29" i="20" s="1"/>
  <c r="AS31" i="20"/>
  <c r="U31" i="20"/>
  <c r="N31" i="20"/>
  <c r="AS19" i="20"/>
  <c r="N19" i="20"/>
  <c r="U19" i="20"/>
  <c r="AS25" i="20"/>
  <c r="N25" i="20"/>
  <c r="V25" i="20" s="1"/>
  <c r="Y25" i="20" s="1"/>
  <c r="U25" i="20"/>
  <c r="AS27" i="20"/>
  <c r="U27" i="20"/>
  <c r="N27" i="20"/>
  <c r="T33" i="20"/>
  <c r="V33" i="20" s="1"/>
  <c r="Y33" i="20" s="1"/>
  <c r="AV33" i="20"/>
  <c r="N26" i="20"/>
  <c r="AS26" i="20"/>
  <c r="U26" i="20"/>
  <c r="N34" i="20"/>
  <c r="AS34" i="20"/>
  <c r="U34" i="20"/>
  <c r="AS24" i="20"/>
  <c r="U24" i="20"/>
  <c r="N24" i="20"/>
  <c r="V24" i="20" s="1"/>
  <c r="Y24" i="20" s="1"/>
  <c r="AS20" i="20"/>
  <c r="N20" i="20"/>
  <c r="U20" i="20"/>
  <c r="AV30" i="20"/>
  <c r="T30" i="20"/>
  <c r="T22" i="20"/>
  <c r="AV22" i="20"/>
  <c r="N32" i="20"/>
  <c r="V32" i="20" s="1"/>
  <c r="Y32" i="20" s="1"/>
  <c r="U32" i="20"/>
  <c r="AS32" i="20"/>
  <c r="AV17" i="20"/>
  <c r="T17" i="20"/>
  <c r="AS14" i="20"/>
  <c r="U14" i="20"/>
  <c r="N14" i="20"/>
  <c r="AS15" i="20"/>
  <c r="U15" i="20"/>
  <c r="N15" i="20"/>
  <c r="T28" i="20"/>
  <c r="V28" i="20" s="1"/>
  <c r="Y28" i="20" s="1"/>
  <c r="AV28" i="20"/>
  <c r="U21" i="20"/>
  <c r="N21" i="20"/>
  <c r="V21" i="20" s="1"/>
  <c r="Y21" i="20" s="1"/>
  <c r="AS21" i="20"/>
  <c r="AV15" i="20"/>
  <c r="T15" i="20"/>
  <c r="T35" i="20"/>
  <c r="V35" i="20" s="1"/>
  <c r="Y35" i="20" s="1"/>
  <c r="AV35" i="20"/>
  <c r="T28" i="19"/>
  <c r="T14" i="19"/>
  <c r="U24" i="19"/>
  <c r="N24" i="19"/>
  <c r="V24" i="19" s="1"/>
  <c r="Y24" i="19" s="1"/>
  <c r="U28" i="19"/>
  <c r="N28" i="19"/>
  <c r="T35" i="19"/>
  <c r="V35" i="19" s="1"/>
  <c r="Y35" i="19" s="1"/>
  <c r="T30" i="19"/>
  <c r="T19" i="19"/>
  <c r="N26" i="19"/>
  <c r="U26" i="19"/>
  <c r="T34" i="19"/>
  <c r="N18" i="19"/>
  <c r="U18" i="19"/>
  <c r="T27" i="19"/>
  <c r="N21" i="19"/>
  <c r="V21" i="19" s="1"/>
  <c r="Y21" i="19" s="1"/>
  <c r="U21" i="19"/>
  <c r="U22" i="19"/>
  <c r="N22" i="19"/>
  <c r="V22" i="19" s="1"/>
  <c r="Y22" i="19" s="1"/>
  <c r="U20" i="19"/>
  <c r="N20" i="19"/>
  <c r="V20" i="19" s="1"/>
  <c r="Y20" i="19" s="1"/>
  <c r="U35" i="19"/>
  <c r="N30" i="19"/>
  <c r="U30" i="19"/>
  <c r="U17" i="19"/>
  <c r="N17" i="19"/>
  <c r="T33" i="19"/>
  <c r="U19" i="19"/>
  <c r="N29" i="19"/>
  <c r="V29" i="19" s="1"/>
  <c r="Y29" i="19" s="1"/>
  <c r="U29" i="19"/>
  <c r="T15" i="19"/>
  <c r="T23" i="19"/>
  <c r="U23" i="19"/>
  <c r="N23" i="19"/>
  <c r="U27" i="19"/>
  <c r="N31" i="19"/>
  <c r="V31" i="19" s="1"/>
  <c r="Y31" i="19" s="1"/>
  <c r="U31" i="19"/>
  <c r="U14" i="19"/>
  <c r="U34" i="19"/>
  <c r="T26" i="19"/>
  <c r="N33" i="19"/>
  <c r="U33" i="19"/>
  <c r="U15" i="19"/>
  <c r="U32" i="19"/>
  <c r="N32" i="19"/>
  <c r="V32" i="19" s="1"/>
  <c r="Y32" i="19" s="1"/>
  <c r="V20" i="21" l="1"/>
  <c r="Y20" i="21" s="1"/>
  <c r="I373" i="22"/>
  <c r="V22" i="20"/>
  <c r="Y22" i="20" s="1"/>
  <c r="J578" i="22"/>
  <c r="P457" i="22"/>
  <c r="J590" i="22"/>
  <c r="P469" i="22"/>
  <c r="P453" i="22"/>
  <c r="J574" i="22"/>
  <c r="J577" i="22"/>
  <c r="P456" i="22"/>
  <c r="J575" i="22"/>
  <c r="P454" i="22"/>
  <c r="J583" i="22"/>
  <c r="P462" i="22"/>
  <c r="J588" i="22"/>
  <c r="P467" i="22"/>
  <c r="J579" i="22"/>
  <c r="P458" i="22"/>
  <c r="J586" i="22"/>
  <c r="P465" i="22"/>
  <c r="P463" i="22"/>
  <c r="J584" i="22"/>
  <c r="J582" i="22"/>
  <c r="P461" i="22"/>
  <c r="V22" i="21"/>
  <c r="Y22" i="21" s="1"/>
  <c r="J594" i="22"/>
  <c r="P473" i="22"/>
  <c r="J592" i="22"/>
  <c r="P471" i="22"/>
  <c r="J589" i="22"/>
  <c r="P468" i="22"/>
  <c r="J595" i="22"/>
  <c r="P474" i="22"/>
  <c r="J593" i="22"/>
  <c r="P472" i="22"/>
  <c r="V24" i="21"/>
  <c r="Y24" i="21" s="1"/>
  <c r="J587" i="22"/>
  <c r="P466" i="22"/>
  <c r="J581" i="22"/>
  <c r="P460" i="22"/>
  <c r="V19" i="21"/>
  <c r="Y19" i="21" s="1"/>
  <c r="J591" i="22"/>
  <c r="P470" i="22"/>
  <c r="J580" i="22"/>
  <c r="P459" i="22"/>
  <c r="J585" i="22"/>
  <c r="P464" i="22"/>
  <c r="J544" i="22"/>
  <c r="P422" i="22"/>
  <c r="P432" i="22"/>
  <c r="J554" i="22"/>
  <c r="P427" i="22"/>
  <c r="J549" i="22"/>
  <c r="P439" i="22"/>
  <c r="J561" i="22"/>
  <c r="J559" i="22"/>
  <c r="P437" i="22"/>
  <c r="P443" i="22"/>
  <c r="J565" i="22"/>
  <c r="J551" i="22"/>
  <c r="P429" i="22"/>
  <c r="P423" i="22"/>
  <c r="J545" i="22"/>
  <c r="J562" i="22"/>
  <c r="P440" i="22"/>
  <c r="J556" i="22"/>
  <c r="P434" i="22"/>
  <c r="J555" i="22"/>
  <c r="P433" i="22"/>
  <c r="J552" i="22"/>
  <c r="P430" i="22"/>
  <c r="P431" i="22"/>
  <c r="J553" i="22"/>
  <c r="J558" i="22"/>
  <c r="P436" i="22"/>
  <c r="J548" i="22"/>
  <c r="P426" i="22"/>
  <c r="J564" i="22"/>
  <c r="P442" i="22"/>
  <c r="J560" i="22"/>
  <c r="P438" i="22"/>
  <c r="V18" i="20"/>
  <c r="Y18" i="20" s="1"/>
  <c r="J550" i="22"/>
  <c r="P428" i="22"/>
  <c r="P435" i="22"/>
  <c r="J557" i="22"/>
  <c r="J563" i="22"/>
  <c r="P441" i="22"/>
  <c r="J547" i="22"/>
  <c r="P425" i="22"/>
  <c r="V18" i="19"/>
  <c r="Y18" i="19" s="1"/>
  <c r="V17" i="19"/>
  <c r="Y17" i="19" s="1"/>
  <c r="X25" i="19"/>
  <c r="L527" i="22" s="1"/>
  <c r="V15" i="19"/>
  <c r="Y15" i="19" s="1"/>
  <c r="V34" i="19"/>
  <c r="Y34" i="19" s="1"/>
  <c r="V27" i="19"/>
  <c r="Y27" i="19" s="1"/>
  <c r="V19" i="19"/>
  <c r="Y19" i="19" s="1"/>
  <c r="J521" i="22"/>
  <c r="P396" i="22"/>
  <c r="J522" i="22"/>
  <c r="P397" i="22"/>
  <c r="J520" i="22"/>
  <c r="P395" i="22"/>
  <c r="J523" i="22"/>
  <c r="P398" i="22"/>
  <c r="J528" i="22"/>
  <c r="P403" i="22"/>
  <c r="J517" i="22"/>
  <c r="P392" i="22"/>
  <c r="J531" i="22"/>
  <c r="P406" i="22"/>
  <c r="J532" i="22"/>
  <c r="P407" i="22"/>
  <c r="J526" i="22"/>
  <c r="P401" i="22"/>
  <c r="J534" i="22"/>
  <c r="P409" i="22"/>
  <c r="J529" i="22"/>
  <c r="P404" i="22"/>
  <c r="J519" i="22"/>
  <c r="P394" i="22"/>
  <c r="J530" i="22"/>
  <c r="P405" i="22"/>
  <c r="J536" i="22"/>
  <c r="P411" i="22"/>
  <c r="J533" i="22"/>
  <c r="P408" i="22"/>
  <c r="J537" i="22"/>
  <c r="P412" i="22"/>
  <c r="J535" i="22"/>
  <c r="P410" i="22"/>
  <c r="J516" i="22"/>
  <c r="P391" i="22"/>
  <c r="J525" i="22"/>
  <c r="P400" i="22"/>
  <c r="J524" i="22"/>
  <c r="P399" i="22"/>
  <c r="J527" i="22"/>
  <c r="P402" i="22"/>
  <c r="V30" i="20"/>
  <c r="Y30" i="20" s="1"/>
  <c r="V26" i="20"/>
  <c r="Y26" i="20" s="1"/>
  <c r="V15" i="21"/>
  <c r="Y15" i="21" s="1"/>
  <c r="V14" i="21"/>
  <c r="Y14" i="21" s="1"/>
  <c r="V26" i="19"/>
  <c r="Y26" i="19" s="1"/>
  <c r="V28" i="19"/>
  <c r="Y28" i="19" s="1"/>
  <c r="V33" i="19"/>
  <c r="Y33" i="19" s="1"/>
  <c r="V30" i="19"/>
  <c r="Y30" i="19" s="1"/>
  <c r="BG17" i="21"/>
  <c r="AW17" i="21"/>
  <c r="X17" i="21"/>
  <c r="L577" i="22" s="1"/>
  <c r="BG27" i="21"/>
  <c r="X27" i="21"/>
  <c r="L587" i="22" s="1"/>
  <c r="AW27" i="21"/>
  <c r="BG26" i="21"/>
  <c r="AW26" i="21"/>
  <c r="X26" i="21"/>
  <c r="L586" i="22" s="1"/>
  <c r="V33" i="21"/>
  <c r="Y33" i="21" s="1"/>
  <c r="BG18" i="21"/>
  <c r="AW18" i="21"/>
  <c r="X18" i="21"/>
  <c r="L578" i="22" s="1"/>
  <c r="BG30" i="21"/>
  <c r="X30" i="21"/>
  <c r="L590" i="22" s="1"/>
  <c r="AW30" i="21"/>
  <c r="BG14" i="21"/>
  <c r="AW14" i="21"/>
  <c r="X14" i="21"/>
  <c r="L574" i="22" s="1"/>
  <c r="V26" i="21"/>
  <c r="Y26" i="21" s="1"/>
  <c r="BG24" i="21"/>
  <c r="X24" i="21"/>
  <c r="L584" i="22" s="1"/>
  <c r="AW24" i="21"/>
  <c r="AW15" i="21"/>
  <c r="BG15" i="21"/>
  <c r="X15" i="21"/>
  <c r="L575" i="22" s="1"/>
  <c r="X33" i="21"/>
  <c r="L593" i="22" s="1"/>
  <c r="BG33" i="21"/>
  <c r="AW33" i="21"/>
  <c r="V34" i="21"/>
  <c r="Y34" i="21" s="1"/>
  <c r="X25" i="21"/>
  <c r="L585" i="22" s="1"/>
  <c r="AW25" i="21"/>
  <c r="BG25" i="21"/>
  <c r="X34" i="21"/>
  <c r="L594" i="22" s="1"/>
  <c r="AW34" i="21"/>
  <c r="BG34" i="21"/>
  <c r="X21" i="21"/>
  <c r="L581" i="22" s="1"/>
  <c r="AW21" i="21"/>
  <c r="BG21" i="21"/>
  <c r="V27" i="21"/>
  <c r="Y27" i="21" s="1"/>
  <c r="BG31" i="21"/>
  <c r="X31" i="21"/>
  <c r="L591" i="22" s="1"/>
  <c r="AW31" i="21"/>
  <c r="AW29" i="21"/>
  <c r="BG29" i="21"/>
  <c r="X29" i="21"/>
  <c r="L589" i="22" s="1"/>
  <c r="X35" i="21"/>
  <c r="L595" i="22" s="1"/>
  <c r="BG35" i="21"/>
  <c r="AW35" i="21"/>
  <c r="AW23" i="21"/>
  <c r="BG23" i="21"/>
  <c r="X23" i="21"/>
  <c r="L583" i="22" s="1"/>
  <c r="BG28" i="21"/>
  <c r="AW28" i="21"/>
  <c r="X28" i="21"/>
  <c r="L588" i="22" s="1"/>
  <c r="V30" i="21"/>
  <c r="Y30" i="21" s="1"/>
  <c r="AW19" i="21"/>
  <c r="BG19" i="21"/>
  <c r="X19" i="21"/>
  <c r="L579" i="22" s="1"/>
  <c r="V18" i="21"/>
  <c r="Y18" i="21" s="1"/>
  <c r="X32" i="21"/>
  <c r="L592" i="22" s="1"/>
  <c r="BG32" i="21"/>
  <c r="AW32" i="21"/>
  <c r="BG22" i="21"/>
  <c r="X22" i="21"/>
  <c r="L582" i="22" s="1"/>
  <c r="AW22" i="21"/>
  <c r="BG20" i="21"/>
  <c r="X20" i="21"/>
  <c r="L580" i="22" s="1"/>
  <c r="AW20" i="21"/>
  <c r="BG24" i="20"/>
  <c r="X24" i="20"/>
  <c r="L554" i="22" s="1"/>
  <c r="AW24" i="20"/>
  <c r="X23" i="20"/>
  <c r="L553" i="22" s="1"/>
  <c r="BG23" i="20"/>
  <c r="AW23" i="20"/>
  <c r="AW28" i="20"/>
  <c r="X28" i="20"/>
  <c r="L558" i="22" s="1"/>
  <c r="BG28" i="20"/>
  <c r="AW18" i="20"/>
  <c r="BG18" i="20"/>
  <c r="X18" i="20"/>
  <c r="L548" i="22" s="1"/>
  <c r="AW14" i="20"/>
  <c r="X14" i="20"/>
  <c r="L544" i="22" s="1"/>
  <c r="BG14" i="20"/>
  <c r="BG26" i="20"/>
  <c r="AW26" i="20"/>
  <c r="X26" i="20"/>
  <c r="L556" i="22" s="1"/>
  <c r="X19" i="20"/>
  <c r="L549" i="22" s="1"/>
  <c r="BG19" i="20"/>
  <c r="AW19" i="20"/>
  <c r="AW31" i="20"/>
  <c r="X31" i="20"/>
  <c r="L561" i="22" s="1"/>
  <c r="BG31" i="20"/>
  <c r="X29" i="20"/>
  <c r="L559" i="22" s="1"/>
  <c r="BG29" i="20"/>
  <c r="AW29" i="20"/>
  <c r="V20" i="20"/>
  <c r="Y20" i="20" s="1"/>
  <c r="BG33" i="20"/>
  <c r="X33" i="20"/>
  <c r="L563" i="22" s="1"/>
  <c r="AW33" i="20"/>
  <c r="V34" i="20"/>
  <c r="Y34" i="20" s="1"/>
  <c r="V15" i="20"/>
  <c r="Y15" i="20" s="1"/>
  <c r="X21" i="20"/>
  <c r="L551" i="22" s="1"/>
  <c r="AW21" i="20"/>
  <c r="BG21" i="20"/>
  <c r="BG15" i="20"/>
  <c r="X15" i="20"/>
  <c r="L545" i="22" s="1"/>
  <c r="AW15" i="20"/>
  <c r="BG32" i="20"/>
  <c r="AW32" i="20"/>
  <c r="X32" i="20"/>
  <c r="L562" i="22" s="1"/>
  <c r="BG34" i="20"/>
  <c r="AW34" i="20"/>
  <c r="X34" i="20"/>
  <c r="L564" i="22" s="1"/>
  <c r="AW25" i="20"/>
  <c r="BG25" i="20"/>
  <c r="X25" i="20"/>
  <c r="L555" i="22" s="1"/>
  <c r="X22" i="20"/>
  <c r="L552" i="22" s="1"/>
  <c r="BG22" i="20"/>
  <c r="AW22" i="20"/>
  <c r="AW17" i="20"/>
  <c r="BG17" i="20"/>
  <c r="X17" i="20"/>
  <c r="L547" i="22" s="1"/>
  <c r="V14" i="20"/>
  <c r="Y14" i="20" s="1"/>
  <c r="V17" i="20"/>
  <c r="Y17" i="20" s="1"/>
  <c r="X20" i="20"/>
  <c r="L550" i="22" s="1"/>
  <c r="BG20" i="20"/>
  <c r="AW20" i="20"/>
  <c r="AW27" i="20"/>
  <c r="X27" i="20"/>
  <c r="L557" i="22" s="1"/>
  <c r="BG27" i="20"/>
  <c r="V19" i="20"/>
  <c r="Y19" i="20" s="1"/>
  <c r="X30" i="20"/>
  <c r="L560" i="22" s="1"/>
  <c r="BG30" i="20"/>
  <c r="AW30" i="20"/>
  <c r="BG35" i="20"/>
  <c r="X35" i="20"/>
  <c r="L565" i="22" s="1"/>
  <c r="AW35" i="20"/>
  <c r="V27" i="20"/>
  <c r="Y27" i="20" s="1"/>
  <c r="V31" i="20"/>
  <c r="Y31" i="20" s="1"/>
  <c r="X32" i="19"/>
  <c r="L534" i="22" s="1"/>
  <c r="X29" i="19"/>
  <c r="L531" i="22" s="1"/>
  <c r="X26" i="19"/>
  <c r="L528" i="22" s="1"/>
  <c r="X24" i="19"/>
  <c r="L526" i="22" s="1"/>
  <c r="X34" i="19"/>
  <c r="L536" i="22" s="1"/>
  <c r="X23" i="19"/>
  <c r="L525" i="22" s="1"/>
  <c r="X22" i="19"/>
  <c r="L524" i="22" s="1"/>
  <c r="X14" i="19"/>
  <c r="X15" i="19"/>
  <c r="L517" i="22" s="1"/>
  <c r="X31" i="19"/>
  <c r="L533" i="22" s="1"/>
  <c r="X27" i="19"/>
  <c r="L529" i="22" s="1"/>
  <c r="X19" i="19"/>
  <c r="L521" i="22" s="1"/>
  <c r="X35" i="19"/>
  <c r="L537" i="22" s="1"/>
  <c r="X20" i="19"/>
  <c r="L522" i="22" s="1"/>
  <c r="X28" i="19"/>
  <c r="L530" i="22" s="1"/>
  <c r="X33" i="19"/>
  <c r="L535" i="22" s="1"/>
  <c r="V23" i="19"/>
  <c r="Y23" i="19" s="1"/>
  <c r="X17" i="19"/>
  <c r="L519" i="22" s="1"/>
  <c r="X30" i="19"/>
  <c r="L532" i="22" s="1"/>
  <c r="X21" i="19"/>
  <c r="L523" i="22" s="1"/>
  <c r="X18" i="19"/>
  <c r="L520" i="22" s="1"/>
  <c r="V14" i="19"/>
  <c r="L516" i="22" l="1"/>
  <c r="Y14" i="19"/>
  <c r="BI15" i="21"/>
  <c r="BI26" i="21"/>
  <c r="BI20" i="21"/>
  <c r="BI22" i="21"/>
  <c r="BI19" i="21"/>
  <c r="BI35" i="21"/>
  <c r="BI30" i="21"/>
  <c r="BI27" i="21"/>
  <c r="BI17" i="21"/>
  <c r="BI23" i="21"/>
  <c r="BI29" i="21"/>
  <c r="BI21" i="21"/>
  <c r="BI34" i="21"/>
  <c r="BI25" i="21"/>
  <c r="BI24" i="21"/>
  <c r="BI32" i="21"/>
  <c r="BI28" i="21"/>
  <c r="BI31" i="21"/>
  <c r="BI33" i="21"/>
  <c r="BI14" i="21"/>
  <c r="BI18" i="21"/>
  <c r="BI25" i="20"/>
  <c r="BI32" i="20"/>
  <c r="BI26" i="20"/>
  <c r="BI23" i="20"/>
  <c r="BI20" i="20"/>
  <c r="BI17" i="20"/>
  <c r="BI31" i="20"/>
  <c r="BI35" i="20"/>
  <c r="BI15" i="20"/>
  <c r="BI21" i="20"/>
  <c r="BI29" i="20"/>
  <c r="BI19" i="20"/>
  <c r="BI18" i="20"/>
  <c r="BI28" i="20"/>
  <c r="BI24" i="20"/>
  <c r="BI34" i="20"/>
  <c r="BI30" i="20"/>
  <c r="BI27" i="20"/>
  <c r="BI22" i="20"/>
  <c r="BI33" i="20"/>
  <c r="BI14" i="20"/>
  <c r="M6" i="11" l="1"/>
  <c r="L6" i="11"/>
  <c r="K6" i="11"/>
  <c r="F10" i="18" s="1"/>
  <c r="F9" i="18"/>
  <c r="F8" i="18"/>
  <c r="B10" i="18"/>
  <c r="B8" i="18"/>
  <c r="B9" i="18" s="1"/>
  <c r="AL16" i="2"/>
  <c r="AL29" i="3"/>
  <c r="AF29" i="3"/>
  <c r="AL21" i="3"/>
  <c r="AF21" i="3"/>
  <c r="B11" i="18" l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E244" i="22"/>
  <c r="AN8" i="18"/>
  <c r="AN9" i="18"/>
  <c r="E245" i="22"/>
  <c r="AN10" i="18"/>
  <c r="E247" i="22"/>
  <c r="G8" i="18"/>
  <c r="AO8" i="18" s="1"/>
  <c r="AQ8" i="18" s="1"/>
  <c r="AS8" i="18" s="1"/>
  <c r="E253" i="22"/>
  <c r="G10" i="18"/>
  <c r="AO10" i="18" s="1"/>
  <c r="AQ10" i="18" s="1"/>
  <c r="AS10" i="18" s="1"/>
  <c r="E248" i="22"/>
  <c r="G9" i="18"/>
  <c r="AO9" i="18" s="1"/>
  <c r="AQ9" i="18" s="1"/>
  <c r="AS9" i="18" s="1"/>
  <c r="F118" i="6"/>
  <c r="AP6" i="18"/>
  <c r="AJ28" i="4"/>
  <c r="AJ20" i="4"/>
  <c r="AF29" i="4"/>
  <c r="AF21" i="4"/>
  <c r="AL21" i="2"/>
  <c r="J126" i="6" l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F5" i="6"/>
  <c r="H5" i="6" s="1"/>
  <c r="I423" i="22"/>
  <c r="I392" i="22"/>
  <c r="I575" i="22"/>
  <c r="I517" i="22"/>
  <c r="I454" i="22"/>
  <c r="I545" i="22"/>
  <c r="I300" i="22"/>
  <c r="G15" i="21"/>
  <c r="G15" i="19"/>
  <c r="G15" i="20"/>
  <c r="BD9" i="18"/>
  <c r="W38" i="13"/>
  <c r="V38" i="13"/>
  <c r="V36" i="13"/>
  <c r="W36" i="13"/>
  <c r="V37" i="13"/>
  <c r="W37" i="13"/>
  <c r="W35" i="13"/>
  <c r="V35" i="13"/>
  <c r="W34" i="13"/>
  <c r="X34" i="13"/>
  <c r="Y34" i="13"/>
  <c r="Z34" i="13"/>
  <c r="AA34" i="13"/>
  <c r="AB34" i="13"/>
  <c r="V34" i="13"/>
  <c r="U39" i="13"/>
  <c r="U38" i="13"/>
  <c r="U37" i="13"/>
  <c r="U35" i="13"/>
  <c r="U36" i="13"/>
  <c r="U34" i="13"/>
  <c r="W39" i="13" l="1"/>
  <c r="V39" i="13"/>
  <c r="AO29" i="18"/>
  <c r="AO25" i="18"/>
  <c r="AO27" i="18"/>
  <c r="AO23" i="18"/>
  <c r="AO28" i="18"/>
  <c r="AO24" i="18"/>
  <c r="AO22" i="18"/>
  <c r="AO30" i="18"/>
  <c r="AO20" i="18"/>
  <c r="AO26" i="18"/>
  <c r="AO21" i="18"/>
  <c r="F6" i="6"/>
  <c r="H6" i="6" s="1"/>
  <c r="AP10" i="18"/>
  <c r="AR10" i="18" s="1"/>
  <c r="I393" i="22"/>
  <c r="I576" i="22"/>
  <c r="I518" i="22"/>
  <c r="I455" i="22"/>
  <c r="I546" i="22"/>
  <c r="I424" i="22"/>
  <c r="I301" i="22"/>
  <c r="F4" i="6"/>
  <c r="H4" i="6" s="1"/>
  <c r="I544" i="22"/>
  <c r="I574" i="22"/>
  <c r="I453" i="22"/>
  <c r="I422" i="22"/>
  <c r="I391" i="22"/>
  <c r="I516" i="22"/>
  <c r="I299" i="22"/>
  <c r="BE9" i="18"/>
  <c r="G5" i="6"/>
  <c r="G14" i="21"/>
  <c r="H15" i="21"/>
  <c r="G16" i="21"/>
  <c r="BF15" i="21"/>
  <c r="AP15" i="21"/>
  <c r="Z15" i="21"/>
  <c r="M575" i="22" s="1"/>
  <c r="AB15" i="21"/>
  <c r="N575" i="22" s="1"/>
  <c r="BF15" i="20"/>
  <c r="AP15" i="20"/>
  <c r="Z15" i="20"/>
  <c r="M545" i="22" s="1"/>
  <c r="AB15" i="20"/>
  <c r="N545" i="22" s="1"/>
  <c r="G16" i="19"/>
  <c r="G16" i="20"/>
  <c r="I10" i="19"/>
  <c r="Z15" i="19"/>
  <c r="M517" i="22" s="1"/>
  <c r="AB15" i="19"/>
  <c r="N517" i="22" s="1"/>
  <c r="G14" i="19"/>
  <c r="G14" i="20"/>
  <c r="BD8" i="18"/>
  <c r="BD10" i="18"/>
  <c r="CR21" i="2"/>
  <c r="H16" i="20" l="1"/>
  <c r="H16" i="19"/>
  <c r="J301" i="22"/>
  <c r="BE10" i="18"/>
  <c r="G6" i="6"/>
  <c r="BE8" i="18"/>
  <c r="G4" i="6"/>
  <c r="AP14" i="21"/>
  <c r="BF14" i="21"/>
  <c r="Z14" i="21"/>
  <c r="M574" i="22" s="1"/>
  <c r="AB14" i="21"/>
  <c r="N574" i="22" s="1"/>
  <c r="AA15" i="21"/>
  <c r="BJ15" i="21"/>
  <c r="AP16" i="21"/>
  <c r="AB16" i="21"/>
  <c r="N576" i="22" s="1"/>
  <c r="BF16" i="21"/>
  <c r="Z16" i="21"/>
  <c r="M576" i="22" s="1"/>
  <c r="H16" i="21"/>
  <c r="AC15" i="21"/>
  <c r="BK15" i="21"/>
  <c r="H14" i="21"/>
  <c r="BK15" i="20"/>
  <c r="AC15" i="20"/>
  <c r="BJ15" i="20"/>
  <c r="AA15" i="20"/>
  <c r="AP14" i="20"/>
  <c r="BF14" i="20"/>
  <c r="Z14" i="20"/>
  <c r="M544" i="22" s="1"/>
  <c r="AB14" i="20"/>
  <c r="N544" i="22" s="1"/>
  <c r="AP16" i="20"/>
  <c r="BF16" i="20"/>
  <c r="Z16" i="20"/>
  <c r="M546" i="22" s="1"/>
  <c r="AB16" i="20"/>
  <c r="N546" i="22" s="1"/>
  <c r="AA15" i="19"/>
  <c r="I9" i="19"/>
  <c r="Z14" i="19"/>
  <c r="M516" i="22" s="1"/>
  <c r="AB14" i="19"/>
  <c r="N516" i="22" s="1"/>
  <c r="AC15" i="19"/>
  <c r="CC14" i="2"/>
  <c r="CC15" i="2"/>
  <c r="CC16" i="2"/>
  <c r="CC17" i="2"/>
  <c r="CC18" i="2"/>
  <c r="CC19" i="2"/>
  <c r="AD16" i="21" l="1"/>
  <c r="AA16" i="21"/>
  <c r="BJ16" i="21"/>
  <c r="AD14" i="21"/>
  <c r="BK14" i="21"/>
  <c r="AC14" i="21"/>
  <c r="BK16" i="21"/>
  <c r="AC16" i="21"/>
  <c r="AA14" i="21"/>
  <c r="BJ14" i="21"/>
  <c r="BJ16" i="20"/>
  <c r="AA16" i="20"/>
  <c r="AD16" i="20"/>
  <c r="AA14" i="20"/>
  <c r="BJ14" i="20"/>
  <c r="AD14" i="20"/>
  <c r="AD14" i="19"/>
  <c r="AC14" i="19"/>
  <c r="BK16" i="20"/>
  <c r="AC16" i="20"/>
  <c r="BK14" i="20"/>
  <c r="AC14" i="20"/>
  <c r="AA14" i="19"/>
  <c r="AF36" i="3"/>
  <c r="AE16" i="21" l="1"/>
  <c r="AE14" i="21"/>
  <c r="AE14" i="20"/>
  <c r="AE14" i="19"/>
  <c r="AE16" i="20"/>
  <c r="CC36" i="4"/>
  <c r="CC35" i="4"/>
  <c r="CC34" i="4"/>
  <c r="CC33" i="4"/>
  <c r="CC32" i="4"/>
  <c r="CC31" i="4"/>
  <c r="CC30" i="4"/>
  <c r="CC29" i="4"/>
  <c r="CC28" i="4"/>
  <c r="CC27" i="4"/>
  <c r="CC26" i="4"/>
  <c r="CC25" i="4"/>
  <c r="CC24" i="4"/>
  <c r="CC23" i="4"/>
  <c r="CC22" i="4"/>
  <c r="CC21" i="4"/>
  <c r="CC20" i="4"/>
  <c r="CC19" i="4"/>
  <c r="CC18" i="4"/>
  <c r="CC17" i="4"/>
  <c r="CC16" i="4"/>
  <c r="CC15" i="4"/>
  <c r="CC14" i="4"/>
  <c r="CC36" i="3"/>
  <c r="CC35" i="3"/>
  <c r="CC34" i="3"/>
  <c r="CC33" i="3"/>
  <c r="CC32" i="3"/>
  <c r="CC31" i="3"/>
  <c r="CC30" i="3"/>
  <c r="CC29" i="3"/>
  <c r="CC28" i="3"/>
  <c r="CC27" i="3"/>
  <c r="CC26" i="3"/>
  <c r="CC25" i="3"/>
  <c r="CC24" i="3"/>
  <c r="CC23" i="3"/>
  <c r="CC22" i="3"/>
  <c r="CC21" i="3"/>
  <c r="CC20" i="3"/>
  <c r="CC19" i="3"/>
  <c r="CC18" i="3"/>
  <c r="CC17" i="3"/>
  <c r="CC16" i="3"/>
  <c r="CC15" i="3"/>
  <c r="CC14" i="3"/>
  <c r="CC20" i="2"/>
  <c r="CC21" i="2"/>
  <c r="CC22" i="2"/>
  <c r="CC23" i="2"/>
  <c r="CC24" i="2"/>
  <c r="CC25" i="2"/>
  <c r="CC26" i="2"/>
  <c r="CC27" i="2"/>
  <c r="CC28" i="2"/>
  <c r="CC29" i="2"/>
  <c r="CC30" i="2"/>
  <c r="CC31" i="2"/>
  <c r="CC32" i="2"/>
  <c r="CC33" i="2"/>
  <c r="CC34" i="2"/>
  <c r="CC35" i="2"/>
  <c r="CC36" i="2"/>
  <c r="BM15" i="4"/>
  <c r="BP15" i="4"/>
  <c r="BM17" i="4"/>
  <c r="BP17" i="4"/>
  <c r="BM18" i="4"/>
  <c r="BP18" i="4"/>
  <c r="BM19" i="4"/>
  <c r="BP19" i="4"/>
  <c r="BM20" i="4"/>
  <c r="BP20" i="4"/>
  <c r="BM21" i="4"/>
  <c r="BO21" i="4"/>
  <c r="BP21" i="4"/>
  <c r="BO25" i="4"/>
  <c r="BM26" i="4"/>
  <c r="BP26" i="4"/>
  <c r="BM27" i="4"/>
  <c r="BP27" i="4"/>
  <c r="BM28" i="4"/>
  <c r="BP28" i="4"/>
  <c r="BM29" i="4"/>
  <c r="BO29" i="4"/>
  <c r="BP29" i="4"/>
  <c r="BO32" i="4"/>
  <c r="BM33" i="4"/>
  <c r="BP33" i="4"/>
  <c r="BM34" i="4"/>
  <c r="BP34" i="4"/>
  <c r="BM35" i="4"/>
  <c r="BP35" i="4"/>
  <c r="BP14" i="4"/>
  <c r="BM15" i="3"/>
  <c r="BP15" i="3"/>
  <c r="BM17" i="3"/>
  <c r="BP17" i="3"/>
  <c r="BM18" i="3"/>
  <c r="BP18" i="3"/>
  <c r="BM19" i="3"/>
  <c r="BP19" i="3"/>
  <c r="BM20" i="3"/>
  <c r="BP20" i="3"/>
  <c r="BM21" i="3"/>
  <c r="BO21" i="3"/>
  <c r="BP21" i="3"/>
  <c r="BO25" i="3"/>
  <c r="BM26" i="3"/>
  <c r="BP26" i="3"/>
  <c r="BM27" i="3"/>
  <c r="BP27" i="3"/>
  <c r="BM28" i="3"/>
  <c r="BP28" i="3"/>
  <c r="BM29" i="3"/>
  <c r="BO29" i="3"/>
  <c r="BP29" i="3"/>
  <c r="BO32" i="3"/>
  <c r="BM33" i="3"/>
  <c r="BP33" i="3"/>
  <c r="BM34" i="3"/>
  <c r="BP34" i="3"/>
  <c r="BM35" i="3"/>
  <c r="BP35" i="3"/>
  <c r="BP14" i="3"/>
  <c r="BL15" i="2" l="1"/>
  <c r="BO15" i="2"/>
  <c r="BL17" i="2"/>
  <c r="BO17" i="2"/>
  <c r="BL18" i="2"/>
  <c r="BO18" i="2"/>
  <c r="BL19" i="2"/>
  <c r="BO19" i="2"/>
  <c r="BL20" i="2"/>
  <c r="BO20" i="2"/>
  <c r="BL21" i="2"/>
  <c r="BN21" i="2"/>
  <c r="BO21" i="2"/>
  <c r="BN25" i="2"/>
  <c r="BL26" i="2"/>
  <c r="BO26" i="2"/>
  <c r="BL27" i="2"/>
  <c r="BO27" i="2"/>
  <c r="BL28" i="2"/>
  <c r="BO28" i="2"/>
  <c r="BL29" i="2"/>
  <c r="BN29" i="2"/>
  <c r="BO29" i="2"/>
  <c r="BN32" i="2"/>
  <c r="BL33" i="2"/>
  <c r="BO33" i="2"/>
  <c r="BL34" i="2"/>
  <c r="BO34" i="2"/>
  <c r="BL35" i="2"/>
  <c r="BO35" i="2"/>
  <c r="BO14" i="2"/>
  <c r="U9" i="5"/>
  <c r="AB8" i="3"/>
  <c r="AB8" i="4"/>
  <c r="AN29" i="4" l="1"/>
  <c r="BQ29" i="4" s="1"/>
  <c r="AN21" i="4"/>
  <c r="BQ21" i="4" s="1"/>
  <c r="U29" i="4"/>
  <c r="U28" i="4"/>
  <c r="U29" i="2"/>
  <c r="U28" i="2"/>
  <c r="AN21" i="3"/>
  <c r="AN29" i="3"/>
  <c r="U29" i="3"/>
  <c r="U28" i="3"/>
  <c r="Q20" i="3"/>
  <c r="AB7" i="2"/>
  <c r="AN29" i="2"/>
  <c r="AO29" i="4" l="1"/>
  <c r="U20" i="4"/>
  <c r="U21" i="3"/>
  <c r="AO29" i="3"/>
  <c r="BQ29" i="3"/>
  <c r="AO21" i="3"/>
  <c r="BQ21" i="3"/>
  <c r="U20" i="3"/>
  <c r="U20" i="2"/>
  <c r="U21" i="2"/>
  <c r="U21" i="4"/>
  <c r="AO29" i="2"/>
  <c r="BP29" i="2"/>
  <c r="AO21" i="4"/>
  <c r="Q28" i="2" l="1"/>
  <c r="BM36" i="4"/>
  <c r="BM16" i="4"/>
  <c r="BM36" i="3"/>
  <c r="BM16" i="3"/>
  <c r="AF14" i="3"/>
  <c r="BM14" i="3" s="1"/>
  <c r="AC6" i="2"/>
  <c r="AC5" i="2"/>
  <c r="Q18" i="7"/>
  <c r="P18" i="7"/>
  <c r="O18" i="7"/>
  <c r="B13" i="16" l="1"/>
  <c r="B21" i="16" s="1"/>
  <c r="C21" i="16" s="1"/>
  <c r="C47" i="6" l="1"/>
  <c r="C48" i="6" s="1"/>
  <c r="C49" i="6" s="1"/>
  <c r="E74" i="6" l="1"/>
  <c r="D78" i="6" s="1"/>
  <c r="J71" i="6"/>
  <c r="J68" i="6" s="1"/>
  <c r="E73" i="6" l="1"/>
  <c r="E75" i="6"/>
  <c r="F74" i="6" s="1"/>
  <c r="J73" i="6" l="1"/>
  <c r="J72" i="6"/>
  <c r="J70" i="6"/>
  <c r="AH51" i="1"/>
  <c r="AH53" i="1" s="1"/>
  <c r="AH41" i="1"/>
  <c r="AH35" i="1"/>
  <c r="AH37" i="1" s="1"/>
  <c r="AB51" i="1"/>
  <c r="AB53" i="1" s="1"/>
  <c r="AB41" i="1"/>
  <c r="AB43" i="1" s="1"/>
  <c r="AB38" i="1"/>
  <c r="AB35" i="1"/>
  <c r="AB45" i="1" l="1"/>
  <c r="AB37" i="1"/>
  <c r="J74" i="6"/>
  <c r="M7" i="6" s="1"/>
  <c r="W30" i="6" s="1"/>
  <c r="AH43" i="1"/>
  <c r="AH45" i="1"/>
  <c r="N20" i="8"/>
  <c r="E640" i="22" s="1"/>
  <c r="J27" i="8"/>
  <c r="N19" i="8" s="1"/>
  <c r="E639" i="22" s="1"/>
  <c r="J26" i="8"/>
  <c r="J16" i="8"/>
  <c r="N18" i="8" s="1"/>
  <c r="E638" i="22" s="1"/>
  <c r="J7" i="8"/>
  <c r="N15" i="8" s="1"/>
  <c r="E635" i="22" s="1"/>
  <c r="J6" i="8"/>
  <c r="N16" i="8" s="1"/>
  <c r="E636" i="22" s="1"/>
  <c r="H19" i="8"/>
  <c r="AH38" i="1" s="1"/>
  <c r="I27" i="8"/>
  <c r="N9" i="8" s="1"/>
  <c r="E626" i="22" s="1"/>
  <c r="I26" i="8"/>
  <c r="N10" i="8" s="1"/>
  <c r="E627" i="22" s="1"/>
  <c r="I16" i="8"/>
  <c r="N8" i="8" s="1"/>
  <c r="E625" i="22" s="1"/>
  <c r="E19" i="8"/>
  <c r="F19" i="8"/>
  <c r="G19" i="8"/>
  <c r="D19" i="8"/>
  <c r="I7" i="8"/>
  <c r="N5" i="8" s="1"/>
  <c r="E622" i="22" s="1"/>
  <c r="I6" i="8"/>
  <c r="N6" i="8" s="1"/>
  <c r="E623" i="22" s="1"/>
  <c r="AD21" i="6" l="1"/>
  <c r="J19" i="8"/>
  <c r="N17" i="8" s="1"/>
  <c r="E637" i="22" s="1"/>
  <c r="I19" i="8"/>
  <c r="N7" i="8" s="1"/>
  <c r="E624" i="22" s="1"/>
  <c r="K41" i="1" l="1"/>
  <c r="L41" i="1" s="1"/>
  <c r="K40" i="1"/>
  <c r="L40" i="1" s="1"/>
  <c r="K35" i="1"/>
  <c r="L35" i="1" s="1"/>
  <c r="K34" i="1"/>
  <c r="L34" i="1" s="1"/>
  <c r="P21" i="1"/>
  <c r="P20" i="1"/>
  <c r="P19" i="1"/>
  <c r="P18" i="1"/>
  <c r="P16" i="1"/>
  <c r="P15" i="1"/>
  <c r="P31" i="1"/>
  <c r="O31" i="1"/>
  <c r="P30" i="1"/>
  <c r="O30" i="1"/>
  <c r="P29" i="1"/>
  <c r="O29" i="1"/>
  <c r="P28" i="1"/>
  <c r="O28" i="1"/>
  <c r="P27" i="1"/>
  <c r="P26" i="1"/>
  <c r="P25" i="1"/>
  <c r="V35" i="1" s="1"/>
  <c r="V37" i="1" s="1"/>
  <c r="O27" i="1"/>
  <c r="O26" i="1"/>
  <c r="O25" i="1"/>
  <c r="Q27" i="1"/>
  <c r="R27" i="1" s="1"/>
  <c r="S27" i="1" l="1"/>
  <c r="I25" i="6"/>
  <c r="L25" i="6" s="1"/>
  <c r="M25" i="6" s="1"/>
  <c r="T3" i="6"/>
  <c r="AD3" i="6" s="1"/>
  <c r="S3" i="6"/>
  <c r="AC3" i="6" s="1"/>
  <c r="G3" i="6" l="1"/>
  <c r="J27" i="1"/>
  <c r="V51" i="1"/>
  <c r="V53" i="1" s="1"/>
  <c r="AC45" i="2" l="1"/>
  <c r="Z50" i="2"/>
  <c r="H47" i="1"/>
  <c r="N73" i="1" s="1"/>
  <c r="O40" i="1"/>
  <c r="O39" i="1"/>
  <c r="N53" i="1" s="1"/>
  <c r="P53" i="1" s="1"/>
  <c r="O44" i="1"/>
  <c r="O43" i="1"/>
  <c r="N55" i="1" s="1"/>
  <c r="P55" i="1" s="1"/>
  <c r="K26" i="1"/>
  <c r="K28" i="1"/>
  <c r="J28" i="1"/>
  <c r="J26" i="1"/>
  <c r="V41" i="1"/>
  <c r="V43" i="1" s="1"/>
  <c r="V38" i="1"/>
  <c r="Q31" i="1"/>
  <c r="Q30" i="1"/>
  <c r="Q29" i="1"/>
  <c r="Q28" i="1"/>
  <c r="Q26" i="1"/>
  <c r="Q25" i="1"/>
  <c r="D3" i="1"/>
  <c r="E3" i="1"/>
  <c r="G3" i="1"/>
  <c r="H3" i="1"/>
  <c r="J3" i="1"/>
  <c r="K3" i="1"/>
  <c r="BN49" i="2"/>
  <c r="BN45" i="2"/>
  <c r="BN46" i="2"/>
  <c r="BN47" i="2"/>
  <c r="BN48" i="2"/>
  <c r="BN44" i="2"/>
  <c r="V39" i="1" l="1"/>
  <c r="AB39" i="1"/>
  <c r="AB40" i="1" s="1"/>
  <c r="AB47" i="1" s="1"/>
  <c r="AB46" i="1" s="1"/>
  <c r="AH39" i="1"/>
  <c r="AH40" i="1" s="1"/>
  <c r="AH47" i="1" s="1"/>
  <c r="AH46" i="1" s="1"/>
  <c r="O42" i="1"/>
  <c r="L26" i="1"/>
  <c r="O41" i="1"/>
  <c r="N54" i="1" s="1"/>
  <c r="P54" i="1" s="1"/>
  <c r="L28" i="1"/>
  <c r="V45" i="1"/>
  <c r="V40" i="1"/>
  <c r="V47" i="1" s="1"/>
  <c r="F14" i="2"/>
  <c r="AL32" i="4"/>
  <c r="BP32" i="4" s="1"/>
  <c r="AL31" i="4"/>
  <c r="BP31" i="4" s="1"/>
  <c r="AL30" i="4"/>
  <c r="BP30" i="4" s="1"/>
  <c r="AL25" i="4"/>
  <c r="BP25" i="4" s="1"/>
  <c r="AL24" i="4"/>
  <c r="BP24" i="4" s="1"/>
  <c r="AL23" i="4"/>
  <c r="BP23" i="4" s="1"/>
  <c r="AH26" i="5"/>
  <c r="N494" i="22" s="1"/>
  <c r="AH25" i="5"/>
  <c r="N493" i="22" s="1"/>
  <c r="AH24" i="5"/>
  <c r="N492" i="22" s="1"/>
  <c r="AH23" i="5"/>
  <c r="N491" i="22" s="1"/>
  <c r="AH22" i="5"/>
  <c r="N490" i="22" s="1"/>
  <c r="AH21" i="5"/>
  <c r="N489" i="22" s="1"/>
  <c r="AH20" i="5"/>
  <c r="N488" i="22" s="1"/>
  <c r="AH19" i="5"/>
  <c r="N487" i="22" s="1"/>
  <c r="AH18" i="5"/>
  <c r="N486" i="22" s="1"/>
  <c r="AH17" i="5"/>
  <c r="N485" i="22" s="1"/>
  <c r="AB17" i="5"/>
  <c r="K485" i="22" s="1"/>
  <c r="AB26" i="5"/>
  <c r="K494" i="22" s="1"/>
  <c r="AB25" i="5"/>
  <c r="K493" i="22" s="1"/>
  <c r="AB24" i="5"/>
  <c r="K492" i="22" s="1"/>
  <c r="AB23" i="5"/>
  <c r="K491" i="22" s="1"/>
  <c r="AB22" i="5"/>
  <c r="K490" i="22" s="1"/>
  <c r="AB21" i="5"/>
  <c r="K489" i="22" s="1"/>
  <c r="AB20" i="5"/>
  <c r="K488" i="22" s="1"/>
  <c r="AB19" i="5"/>
  <c r="K487" i="22" s="1"/>
  <c r="AB18" i="5"/>
  <c r="K486" i="22" s="1"/>
  <c r="AL22" i="4"/>
  <c r="BP22" i="4" s="1"/>
  <c r="AL32" i="3"/>
  <c r="BP32" i="3" s="1"/>
  <c r="AL31" i="3"/>
  <c r="BP31" i="3" s="1"/>
  <c r="AL30" i="3"/>
  <c r="BP30" i="3" s="1"/>
  <c r="AL25" i="3"/>
  <c r="BP25" i="3" s="1"/>
  <c r="AL24" i="3"/>
  <c r="BP24" i="3" s="1"/>
  <c r="AL23" i="3"/>
  <c r="BP23" i="3" s="1"/>
  <c r="AL22" i="3"/>
  <c r="N23" i="5"/>
  <c r="N22" i="5"/>
  <c r="N21" i="5"/>
  <c r="N20" i="5"/>
  <c r="N19" i="5"/>
  <c r="N18" i="5"/>
  <c r="N17" i="5"/>
  <c r="BP22" i="3" l="1"/>
  <c r="V46" i="1"/>
  <c r="T25" i="6"/>
  <c r="AD15" i="6" s="1"/>
  <c r="BI67" i="2" l="1"/>
  <c r="Q10" i="12"/>
  <c r="Q9" i="12"/>
  <c r="Q8" i="12"/>
  <c r="Q7" i="12"/>
  <c r="Q6" i="12"/>
  <c r="Q5" i="12"/>
  <c r="P10" i="12"/>
  <c r="P9" i="12"/>
  <c r="L24" i="6" s="1"/>
  <c r="M24" i="6" s="1"/>
  <c r="I24" i="6" s="1"/>
  <c r="T24" i="6" s="1"/>
  <c r="P8" i="12"/>
  <c r="L23" i="6" s="1"/>
  <c r="P7" i="12"/>
  <c r="L22" i="6" s="1"/>
  <c r="P6" i="12"/>
  <c r="L21" i="6" s="1"/>
  <c r="M21" i="6" s="1"/>
  <c r="I21" i="6" s="1"/>
  <c r="T21" i="6" s="1"/>
  <c r="P5" i="12"/>
  <c r="L15" i="6" s="1"/>
  <c r="M15" i="6" s="1"/>
  <c r="O22" i="7"/>
  <c r="O21" i="7"/>
  <c r="Q17" i="7"/>
  <c r="Q16" i="7"/>
  <c r="P17" i="7"/>
  <c r="P16" i="7"/>
  <c r="O17" i="7"/>
  <c r="O16" i="7"/>
  <c r="AB6" i="3"/>
  <c r="BC54" i="2"/>
  <c r="BB54" i="2"/>
  <c r="AZ54" i="2"/>
  <c r="AY54" i="2"/>
  <c r="AW54" i="2"/>
  <c r="AV54" i="2"/>
  <c r="AJ20" i="3" l="1"/>
  <c r="AJ28" i="3"/>
  <c r="K34" i="4"/>
  <c r="K35" i="3"/>
  <c r="AD14" i="6"/>
  <c r="K26" i="3"/>
  <c r="M23" i="6"/>
  <c r="I23" i="6" s="1"/>
  <c r="T23" i="6" s="1"/>
  <c r="AD13" i="6" s="1"/>
  <c r="M22" i="6"/>
  <c r="I22" i="6" s="1"/>
  <c r="T22" i="6" s="1"/>
  <c r="AD12" i="6" s="1"/>
  <c r="AD11" i="6"/>
  <c r="K33" i="4"/>
  <c r="K33" i="3"/>
  <c r="K26" i="4"/>
  <c r="K34" i="3"/>
  <c r="K36" i="3"/>
  <c r="K35" i="4"/>
  <c r="K36" i="4"/>
  <c r="AU37" i="5"/>
  <c r="AS37" i="5"/>
  <c r="AQ37" i="5"/>
  <c r="AY43" i="4"/>
  <c r="AW43" i="4"/>
  <c r="AU43" i="4"/>
  <c r="AY43" i="3"/>
  <c r="AW43" i="3"/>
  <c r="AU43" i="3"/>
  <c r="AW43" i="2"/>
  <c r="AY43" i="2"/>
  <c r="AU43" i="2"/>
  <c r="K3" i="7"/>
  <c r="J3" i="7"/>
  <c r="P39" i="2"/>
  <c r="H9" i="2"/>
  <c r="K33" i="2" l="1"/>
  <c r="N27" i="18"/>
  <c r="K35" i="2"/>
  <c r="N29" i="18"/>
  <c r="K34" i="2"/>
  <c r="N28" i="18"/>
  <c r="X31" i="6"/>
  <c r="K36" i="2"/>
  <c r="N30" i="18"/>
  <c r="AD22" i="6"/>
  <c r="K26" i="2"/>
  <c r="N20" i="18"/>
  <c r="N21" i="18" s="1"/>
  <c r="N22" i="18" s="1"/>
  <c r="N23" i="18" s="1"/>
  <c r="N24" i="18" s="1"/>
  <c r="N25" i="18" s="1"/>
  <c r="N26" i="18" s="1"/>
  <c r="J26" i="3"/>
  <c r="J33" i="3"/>
  <c r="J34" i="3"/>
  <c r="J35" i="3"/>
  <c r="J36" i="3"/>
  <c r="K12" i="2"/>
  <c r="J36" i="4"/>
  <c r="J35" i="4"/>
  <c r="J34" i="4"/>
  <c r="J33" i="4"/>
  <c r="J26" i="4"/>
  <c r="J36" i="2"/>
  <c r="J35" i="2"/>
  <c r="J34" i="2"/>
  <c r="J33" i="2"/>
  <c r="J26" i="2"/>
  <c r="AE22" i="6" l="1"/>
  <c r="G121" i="6"/>
  <c r="AD23" i="6"/>
  <c r="V51" i="13"/>
  <c r="W51" i="13" s="1"/>
  <c r="V52" i="13"/>
  <c r="W52" i="13" s="1"/>
  <c r="V53" i="13"/>
  <c r="W53" i="13" s="1"/>
  <c r="V50" i="13"/>
  <c r="W50" i="13" s="1"/>
  <c r="M5" i="11"/>
  <c r="L5" i="11"/>
  <c r="K5" i="11"/>
  <c r="M4" i="11"/>
  <c r="L4" i="11"/>
  <c r="K4" i="11"/>
  <c r="M3" i="11"/>
  <c r="L3" i="11"/>
  <c r="K3" i="11"/>
  <c r="C24" i="10"/>
  <c r="B24" i="10"/>
  <c r="C23" i="10"/>
  <c r="B23" i="10"/>
  <c r="C22" i="10"/>
  <c r="B22" i="10"/>
  <c r="G26" i="9"/>
  <c r="F26" i="9"/>
  <c r="G25" i="9"/>
  <c r="F25" i="9"/>
  <c r="G24" i="9"/>
  <c r="F24" i="9"/>
  <c r="G120" i="6" l="1"/>
  <c r="AC21" i="6"/>
  <c r="AC23" i="6"/>
  <c r="AC22" i="6"/>
  <c r="W54" i="13"/>
  <c r="Y53" i="13" s="1"/>
  <c r="Q25" i="4" s="1"/>
  <c r="O30" i="14"/>
  <c r="O33" i="14" s="1"/>
  <c r="N23" i="11"/>
  <c r="N22" i="11"/>
  <c r="N21" i="11"/>
  <c r="O32" i="14" l="1"/>
  <c r="Y50" i="13"/>
  <c r="Q22" i="4" s="1"/>
  <c r="Y52" i="13"/>
  <c r="Q24" i="4" s="1"/>
  <c r="Y51" i="13"/>
  <c r="Q23" i="4" s="1"/>
  <c r="AC16" i="5"/>
  <c r="AC14" i="5"/>
  <c r="AB14" i="5"/>
  <c r="K482" i="22" s="1"/>
  <c r="AV12" i="5" l="1"/>
  <c r="AT12" i="5"/>
  <c r="AR12" i="5"/>
  <c r="AP12" i="5"/>
  <c r="AM12" i="5"/>
  <c r="AZ12" i="4"/>
  <c r="AX12" i="4"/>
  <c r="AV12" i="4"/>
  <c r="AT12" i="4"/>
  <c r="AQ12" i="4"/>
  <c r="AZ12" i="3"/>
  <c r="AX12" i="3"/>
  <c r="AV12" i="3"/>
  <c r="AT12" i="3"/>
  <c r="AQ12" i="3"/>
  <c r="AV12" i="2" l="1"/>
  <c r="U8" i="5" l="1"/>
  <c r="U7" i="5"/>
  <c r="U6" i="5"/>
  <c r="Z27" i="5" s="1"/>
  <c r="J495" i="22" s="1"/>
  <c r="AJ23" i="5"/>
  <c r="O23" i="5"/>
  <c r="AG22" i="5"/>
  <c r="AF22" i="5"/>
  <c r="O22" i="5"/>
  <c r="O21" i="5"/>
  <c r="F21" i="5"/>
  <c r="F22" i="5" s="1"/>
  <c r="F23" i="5" s="1"/>
  <c r="F24" i="5" s="1"/>
  <c r="F25" i="5" s="1"/>
  <c r="F26" i="5" s="1"/>
  <c r="F27" i="5" s="1"/>
  <c r="E21" i="5"/>
  <c r="E22" i="5" s="1"/>
  <c r="E23" i="5" s="1"/>
  <c r="E24" i="5" s="1"/>
  <c r="E25" i="5" s="1"/>
  <c r="E26" i="5" s="1"/>
  <c r="E27" i="5" s="1"/>
  <c r="AJ20" i="5"/>
  <c r="O20" i="5"/>
  <c r="AG19" i="5"/>
  <c r="AF19" i="5"/>
  <c r="M487" i="22" s="1"/>
  <c r="O19" i="5"/>
  <c r="O18" i="5"/>
  <c r="O17" i="5"/>
  <c r="F17" i="5"/>
  <c r="F18" i="5" s="1"/>
  <c r="F19" i="5" s="1"/>
  <c r="F20" i="5" s="1"/>
  <c r="E17" i="5"/>
  <c r="E18" i="5" s="1"/>
  <c r="E19" i="5" s="1"/>
  <c r="E20" i="5" s="1"/>
  <c r="F16" i="5"/>
  <c r="E16" i="5"/>
  <c r="C16" i="5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F15" i="5"/>
  <c r="E15" i="5"/>
  <c r="F14" i="5"/>
  <c r="E14" i="5"/>
  <c r="C14" i="5"/>
  <c r="C15" i="5" s="1"/>
  <c r="B14" i="5"/>
  <c r="B15" i="5" s="1"/>
  <c r="AK12" i="5"/>
  <c r="AI12" i="5"/>
  <c r="AG12" i="5"/>
  <c r="AE12" i="5"/>
  <c r="AC12" i="5"/>
  <c r="AA12" i="5"/>
  <c r="V12" i="5"/>
  <c r="W12" i="5" s="1"/>
  <c r="O12" i="5"/>
  <c r="L12" i="5"/>
  <c r="J12" i="5"/>
  <c r="F12" i="5"/>
  <c r="C12" i="5"/>
  <c r="V8" i="5"/>
  <c r="V7" i="5"/>
  <c r="V6" i="5"/>
  <c r="AA27" i="5" s="1"/>
  <c r="AJ22" i="5" l="1"/>
  <c r="O490" i="22" s="1"/>
  <c r="M490" i="22"/>
  <c r="AK23" i="5"/>
  <c r="O491" i="22"/>
  <c r="AK20" i="5"/>
  <c r="O488" i="22"/>
  <c r="U22" i="5"/>
  <c r="W22" i="5" s="1"/>
  <c r="X22" i="5" s="1"/>
  <c r="AK22" i="5"/>
  <c r="AJ19" i="5"/>
  <c r="U17" i="5"/>
  <c r="W17" i="5" s="1"/>
  <c r="X17" i="5" s="1"/>
  <c r="U26" i="5"/>
  <c r="W26" i="5" s="1"/>
  <c r="X26" i="5" s="1"/>
  <c r="U18" i="5"/>
  <c r="W18" i="5" s="1"/>
  <c r="X18" i="5" s="1"/>
  <c r="U27" i="5"/>
  <c r="W27" i="5" s="1"/>
  <c r="X27" i="5" s="1"/>
  <c r="U19" i="5"/>
  <c r="W19" i="5" s="1"/>
  <c r="X19" i="5" s="1"/>
  <c r="U24" i="5"/>
  <c r="W24" i="5" s="1"/>
  <c r="X24" i="5" s="1"/>
  <c r="U20" i="5"/>
  <c r="W20" i="5" s="1"/>
  <c r="X20" i="5" s="1"/>
  <c r="U25" i="5"/>
  <c r="W25" i="5" s="1"/>
  <c r="X25" i="5" s="1"/>
  <c r="U21" i="5"/>
  <c r="W21" i="5" s="1"/>
  <c r="X21" i="5" s="1"/>
  <c r="U23" i="5"/>
  <c r="W23" i="5" s="1"/>
  <c r="X23" i="5" s="1"/>
  <c r="AA24" i="5"/>
  <c r="Z23" i="5"/>
  <c r="AG24" i="5"/>
  <c r="AF25" i="5"/>
  <c r="AA19" i="5"/>
  <c r="AA15" i="5"/>
  <c r="AG14" i="5"/>
  <c r="AA16" i="5"/>
  <c r="U14" i="5"/>
  <c r="W14" i="5" s="1"/>
  <c r="X14" i="5" s="1"/>
  <c r="U15" i="5"/>
  <c r="W15" i="5" s="1"/>
  <c r="AA18" i="5"/>
  <c r="AA20" i="5"/>
  <c r="Z22" i="5"/>
  <c r="AG17" i="5"/>
  <c r="AG26" i="5"/>
  <c r="AK26" i="5" s="1"/>
  <c r="U16" i="5"/>
  <c r="W16" i="5" s="1"/>
  <c r="X16" i="5" s="1"/>
  <c r="Z26" i="5"/>
  <c r="Z24" i="5"/>
  <c r="Z20" i="5"/>
  <c r="Z19" i="5"/>
  <c r="Z18" i="5"/>
  <c r="Z17" i="5"/>
  <c r="Z16" i="5"/>
  <c r="J484" i="22" s="1"/>
  <c r="AF15" i="5"/>
  <c r="AF26" i="5"/>
  <c r="AF24" i="5"/>
  <c r="AF18" i="5"/>
  <c r="AA25" i="5"/>
  <c r="AA23" i="5"/>
  <c r="AA22" i="5"/>
  <c r="AA21" i="5"/>
  <c r="AF17" i="5"/>
  <c r="M485" i="22" s="1"/>
  <c r="AF14" i="5"/>
  <c r="Z15" i="5"/>
  <c r="AG15" i="5"/>
  <c r="AG18" i="5"/>
  <c r="AF21" i="5"/>
  <c r="AA26" i="5"/>
  <c r="Z14" i="5"/>
  <c r="Z21" i="5"/>
  <c r="AG25" i="5"/>
  <c r="AG21" i="5"/>
  <c r="AA14" i="5"/>
  <c r="AA17" i="5"/>
  <c r="Z25" i="5"/>
  <c r="H358" i="22" l="1"/>
  <c r="I489" i="22"/>
  <c r="AK19" i="5"/>
  <c r="O487" i="22"/>
  <c r="H361" i="22"/>
  <c r="I492" i="22"/>
  <c r="H359" i="22"/>
  <c r="I490" i="22"/>
  <c r="H364" i="22"/>
  <c r="I495" i="22"/>
  <c r="H362" i="22"/>
  <c r="I493" i="22"/>
  <c r="H352" i="22"/>
  <c r="I483" i="22"/>
  <c r="H351" i="22"/>
  <c r="I482" i="22"/>
  <c r="H353" i="22"/>
  <c r="I484" i="22"/>
  <c r="H360" i="22"/>
  <c r="I491" i="22"/>
  <c r="H363" i="22"/>
  <c r="I494" i="22"/>
  <c r="H355" i="22"/>
  <c r="I486" i="22"/>
  <c r="H356" i="22"/>
  <c r="I487" i="22"/>
  <c r="H354" i="22"/>
  <c r="I485" i="22"/>
  <c r="H357" i="22"/>
  <c r="I488" i="22"/>
  <c r="AD14" i="5"/>
  <c r="L482" i="22" s="1"/>
  <c r="J482" i="22"/>
  <c r="AJ18" i="5"/>
  <c r="O486" i="22" s="1"/>
  <c r="M486" i="22"/>
  <c r="AD20" i="5"/>
  <c r="J488" i="22"/>
  <c r="AD15" i="5"/>
  <c r="L483" i="22" s="1"/>
  <c r="J483" i="22"/>
  <c r="AJ24" i="5"/>
  <c r="O492" i="22" s="1"/>
  <c r="M492" i="22"/>
  <c r="AD17" i="5"/>
  <c r="L485" i="22" s="1"/>
  <c r="J485" i="22"/>
  <c r="AD24" i="5"/>
  <c r="L492" i="22" s="1"/>
  <c r="J492" i="22"/>
  <c r="AD23" i="5"/>
  <c r="J491" i="22"/>
  <c r="AD25" i="5"/>
  <c r="L493" i="22" s="1"/>
  <c r="J493" i="22"/>
  <c r="AJ21" i="5"/>
  <c r="O489" i="22" s="1"/>
  <c r="M489" i="22"/>
  <c r="AJ14" i="5"/>
  <c r="O482" i="22" s="1"/>
  <c r="M482" i="22"/>
  <c r="AJ26" i="5"/>
  <c r="O494" i="22" s="1"/>
  <c r="M494" i="22"/>
  <c r="AD18" i="5"/>
  <c r="L486" i="22" s="1"/>
  <c r="J486" i="22"/>
  <c r="AD26" i="5"/>
  <c r="L494" i="22" s="1"/>
  <c r="J494" i="22"/>
  <c r="AD22" i="5"/>
  <c r="J490" i="22"/>
  <c r="AD21" i="5"/>
  <c r="L489" i="22" s="1"/>
  <c r="J489" i="22"/>
  <c r="AJ15" i="5"/>
  <c r="O483" i="22" s="1"/>
  <c r="M483" i="22"/>
  <c r="AD19" i="5"/>
  <c r="L487" i="22" s="1"/>
  <c r="J487" i="22"/>
  <c r="AJ25" i="5"/>
  <c r="O493" i="22" s="1"/>
  <c r="M493" i="22"/>
  <c r="AL19" i="5"/>
  <c r="AQ19" i="5" s="1"/>
  <c r="AF27" i="5"/>
  <c r="M495" i="22" s="1"/>
  <c r="V25" i="5"/>
  <c r="I362" i="22" s="1"/>
  <c r="V27" i="5"/>
  <c r="I364" i="22" s="1"/>
  <c r="U36" i="5"/>
  <c r="V15" i="5"/>
  <c r="I352" i="22" s="1"/>
  <c r="AB27" i="5"/>
  <c r="K495" i="22" s="1"/>
  <c r="AH16" i="5"/>
  <c r="N484" i="22" s="1"/>
  <c r="AB16" i="5"/>
  <c r="K484" i="22" s="1"/>
  <c r="AJ17" i="5"/>
  <c r="AF16" i="5"/>
  <c r="M484" i="22" s="1"/>
  <c r="V16" i="5"/>
  <c r="I353" i="22" s="1"/>
  <c r="V24" i="5"/>
  <c r="I361" i="22" s="1"/>
  <c r="V26" i="5"/>
  <c r="I363" i="22" s="1"/>
  <c r="V22" i="5"/>
  <c r="I359" i="22" s="1"/>
  <c r="V23" i="5"/>
  <c r="I360" i="22" s="1"/>
  <c r="V21" i="5"/>
  <c r="I358" i="22" s="1"/>
  <c r="V20" i="5"/>
  <c r="I357" i="22" s="1"/>
  <c r="V19" i="5"/>
  <c r="I356" i="22" s="1"/>
  <c r="Z28" i="5"/>
  <c r="J496" i="22" s="1"/>
  <c r="AH27" i="5"/>
  <c r="N495" i="22" s="1"/>
  <c r="AN28" i="5"/>
  <c r="V18" i="5"/>
  <c r="I355" i="22" s="1"/>
  <c r="V14" i="5"/>
  <c r="I351" i="22" s="1"/>
  <c r="V17" i="5"/>
  <c r="I354" i="22" s="1"/>
  <c r="AK24" i="5"/>
  <c r="AK25" i="5"/>
  <c r="AK14" i="5"/>
  <c r="AE22" i="5"/>
  <c r="AM22" i="5" s="1"/>
  <c r="AP22" i="5" s="1"/>
  <c r="U28" i="5"/>
  <c r="AK18" i="5"/>
  <c r="AE19" i="5"/>
  <c r="AM19" i="5" s="1"/>
  <c r="AP19" i="5" s="1"/>
  <c r="AE20" i="5"/>
  <c r="AM20" i="5" s="1"/>
  <c r="AP20" i="5" s="1"/>
  <c r="AE26" i="5"/>
  <c r="AE24" i="5"/>
  <c r="AL21" i="5" l="1"/>
  <c r="AE14" i="5"/>
  <c r="AL26" i="5"/>
  <c r="P494" i="22" s="1"/>
  <c r="AE18" i="5"/>
  <c r="AL24" i="5"/>
  <c r="AQ24" i="5" s="1"/>
  <c r="AL15" i="5"/>
  <c r="P483" i="22" s="1"/>
  <c r="AE25" i="5"/>
  <c r="AM25" i="5" s="1"/>
  <c r="AP25" i="5" s="1"/>
  <c r="AT25" i="5" s="1"/>
  <c r="AL14" i="5"/>
  <c r="P482" i="22" s="1"/>
  <c r="AK15" i="5"/>
  <c r="AL25" i="5"/>
  <c r="P493" i="22" s="1"/>
  <c r="H365" i="22"/>
  <c r="I496" i="22"/>
  <c r="AO24" i="5"/>
  <c r="AS24" i="5" s="1"/>
  <c r="AO26" i="5"/>
  <c r="AS26" i="5" s="1"/>
  <c r="AO21" i="5"/>
  <c r="AS21" i="5" s="1"/>
  <c r="P489" i="22"/>
  <c r="AO19" i="5"/>
  <c r="AS19" i="5" s="1"/>
  <c r="AU19" i="5" s="1"/>
  <c r="P487" i="22"/>
  <c r="AL23" i="5"/>
  <c r="L491" i="22"/>
  <c r="AK21" i="5"/>
  <c r="AE17" i="5"/>
  <c r="AM17" i="5" s="1"/>
  <c r="AP17" i="5" s="1"/>
  <c r="AE15" i="5"/>
  <c r="AL18" i="5"/>
  <c r="AQ18" i="5" s="1"/>
  <c r="AO25" i="5"/>
  <c r="AS25" i="5" s="1"/>
  <c r="AE23" i="5"/>
  <c r="AM23" i="5" s="1"/>
  <c r="AP23" i="5" s="1"/>
  <c r="AJ16" i="5"/>
  <c r="O484" i="22" s="1"/>
  <c r="O485" i="22"/>
  <c r="AD27" i="5"/>
  <c r="L495" i="22" s="1"/>
  <c r="AE21" i="5"/>
  <c r="AD16" i="5"/>
  <c r="L484" i="22" s="1"/>
  <c r="AL22" i="5"/>
  <c r="L490" i="22"/>
  <c r="AL20" i="5"/>
  <c r="L488" i="22"/>
  <c r="AK17" i="5"/>
  <c r="AL17" i="5"/>
  <c r="AQ17" i="5" s="1"/>
  <c r="AJ27" i="5"/>
  <c r="AB28" i="5"/>
  <c r="K496" i="22" s="1"/>
  <c r="AF28" i="5"/>
  <c r="M496" i="22" s="1"/>
  <c r="AH28" i="5"/>
  <c r="N496" i="22" s="1"/>
  <c r="AM24" i="5"/>
  <c r="AP24" i="5" s="1"/>
  <c r="AT24" i="5" s="1"/>
  <c r="AM26" i="5"/>
  <c r="AP26" i="5" s="1"/>
  <c r="AQ21" i="5"/>
  <c r="AU21" i="5" s="1"/>
  <c r="AQ25" i="5"/>
  <c r="AM14" i="5"/>
  <c r="AQ26" i="5"/>
  <c r="AM18" i="5"/>
  <c r="AP18" i="5" s="1"/>
  <c r="AO15" i="5"/>
  <c r="AR19" i="5"/>
  <c r="AZ12" i="2"/>
  <c r="AX12" i="2"/>
  <c r="AT12" i="2"/>
  <c r="AQ12" i="2"/>
  <c r="AO12" i="2"/>
  <c r="AM12" i="2"/>
  <c r="AK12" i="2"/>
  <c r="AI12" i="2"/>
  <c r="AG12" i="2"/>
  <c r="AE12" i="2"/>
  <c r="AC12" i="2"/>
  <c r="R12" i="2"/>
  <c r="O12" i="2"/>
  <c r="G12" i="2"/>
  <c r="C12" i="2"/>
  <c r="AO12" i="3"/>
  <c r="AM12" i="3"/>
  <c r="AK12" i="3"/>
  <c r="AI12" i="3"/>
  <c r="AG12" i="3"/>
  <c r="AE12" i="3"/>
  <c r="AC12" i="3"/>
  <c r="R12" i="3"/>
  <c r="O12" i="3"/>
  <c r="K12" i="3"/>
  <c r="G12" i="3"/>
  <c r="D12" i="3"/>
  <c r="AO12" i="4"/>
  <c r="AM12" i="4"/>
  <c r="AK12" i="4"/>
  <c r="AI12" i="4"/>
  <c r="AG12" i="4"/>
  <c r="AE12" i="4"/>
  <c r="AC12" i="4"/>
  <c r="R12" i="4"/>
  <c r="O12" i="4"/>
  <c r="K12" i="4"/>
  <c r="G12" i="4"/>
  <c r="D12" i="4"/>
  <c r="AM32" i="3"/>
  <c r="AM31" i="3"/>
  <c r="AM30" i="3"/>
  <c r="AM25" i="3"/>
  <c r="AM24" i="3"/>
  <c r="AM23" i="3"/>
  <c r="AM22" i="3"/>
  <c r="AG32" i="3"/>
  <c r="AG31" i="3"/>
  <c r="AG30" i="3"/>
  <c r="AG25" i="3"/>
  <c r="AG24" i="3"/>
  <c r="AG23" i="3"/>
  <c r="AG22" i="3"/>
  <c r="AG14" i="3"/>
  <c r="AM32" i="4"/>
  <c r="AM31" i="4"/>
  <c r="AM30" i="4"/>
  <c r="AM23" i="4"/>
  <c r="AM24" i="4"/>
  <c r="AM25" i="4"/>
  <c r="AM22" i="4"/>
  <c r="AG32" i="4"/>
  <c r="AG31" i="4"/>
  <c r="AG30" i="4"/>
  <c r="AG25" i="4"/>
  <c r="AG24" i="4"/>
  <c r="AG23" i="4"/>
  <c r="AG22" i="4"/>
  <c r="AG14" i="4"/>
  <c r="AF14" i="4"/>
  <c r="BM14" i="4" s="1"/>
  <c r="AF22" i="4"/>
  <c r="BM22" i="4" s="1"/>
  <c r="AF23" i="4"/>
  <c r="BM23" i="4" s="1"/>
  <c r="AF24" i="4"/>
  <c r="BM24" i="4" s="1"/>
  <c r="AF25" i="4"/>
  <c r="BM25" i="4" s="1"/>
  <c r="AF30" i="4"/>
  <c r="BM30" i="4" s="1"/>
  <c r="AF31" i="4"/>
  <c r="BM31" i="4" s="1"/>
  <c r="AF32" i="4"/>
  <c r="BM32" i="4" s="1"/>
  <c r="AU24" i="5" l="1"/>
  <c r="AQ15" i="5"/>
  <c r="AR15" i="5" s="1"/>
  <c r="P492" i="22"/>
  <c r="AO14" i="5"/>
  <c r="AS14" i="5" s="1"/>
  <c r="AM15" i="5"/>
  <c r="AP15" i="5" s="1"/>
  <c r="AT19" i="5"/>
  <c r="AV19" i="5" s="1"/>
  <c r="AQ14" i="5"/>
  <c r="AU14" i="5" s="1"/>
  <c r="AM21" i="5"/>
  <c r="AP21" i="5" s="1"/>
  <c r="AT21" i="5" s="1"/>
  <c r="AE16" i="5"/>
  <c r="AD28" i="5"/>
  <c r="L496" i="22" s="1"/>
  <c r="AO22" i="5"/>
  <c r="AS22" i="5" s="1"/>
  <c r="AT22" i="5" s="1"/>
  <c r="P490" i="22"/>
  <c r="AQ22" i="5"/>
  <c r="AU26" i="5"/>
  <c r="AT26" i="5"/>
  <c r="AE27" i="5"/>
  <c r="AJ28" i="5"/>
  <c r="O496" i="22" s="1"/>
  <c r="O495" i="22"/>
  <c r="AO18" i="5"/>
  <c r="AS18" i="5" s="1"/>
  <c r="AT18" i="5" s="1"/>
  <c r="P486" i="22"/>
  <c r="AL16" i="5"/>
  <c r="P484" i="22" s="1"/>
  <c r="AK16" i="5"/>
  <c r="AO17" i="5"/>
  <c r="AS17" i="5" s="1"/>
  <c r="AT17" i="5" s="1"/>
  <c r="P485" i="22"/>
  <c r="AO20" i="5"/>
  <c r="AS20" i="5" s="1"/>
  <c r="AT20" i="5" s="1"/>
  <c r="P488" i="22"/>
  <c r="AQ20" i="5"/>
  <c r="AO23" i="5"/>
  <c r="AS23" i="5" s="1"/>
  <c r="AT23" i="5" s="1"/>
  <c r="P491" i="22"/>
  <c r="AQ23" i="5"/>
  <c r="AP14" i="5"/>
  <c r="AT14" i="5" s="1"/>
  <c r="AR25" i="5"/>
  <c r="AS15" i="5"/>
  <c r="AT15" i="5" s="1"/>
  <c r="AU17" i="5"/>
  <c r="AR17" i="5"/>
  <c r="AR18" i="5"/>
  <c r="AU25" i="5"/>
  <c r="AR24" i="5"/>
  <c r="AV24" i="5" s="1"/>
  <c r="AR26" i="5"/>
  <c r="AR21" i="5"/>
  <c r="AV21" i="5" s="1"/>
  <c r="AR14" i="5" l="1"/>
  <c r="AM16" i="5"/>
  <c r="AO16" i="5"/>
  <c r="AU18" i="5"/>
  <c r="AV18" i="5" s="1"/>
  <c r="AV17" i="5"/>
  <c r="AR20" i="5"/>
  <c r="AU20" i="5"/>
  <c r="AR23" i="5"/>
  <c r="AU23" i="5"/>
  <c r="AU22" i="5"/>
  <c r="AR22" i="5"/>
  <c r="AQ16" i="5"/>
  <c r="AR16" i="5" s="1"/>
  <c r="AV26" i="5"/>
  <c r="AV14" i="5"/>
  <c r="AV25" i="5"/>
  <c r="AS16" i="5"/>
  <c r="AT16" i="5" s="1"/>
  <c r="AV23" i="5" l="1"/>
  <c r="AV22" i="5"/>
  <c r="AV20" i="5"/>
  <c r="AU16" i="5"/>
  <c r="AV16" i="5" s="1"/>
  <c r="N17" i="2"/>
  <c r="AC7" i="4"/>
  <c r="AB7" i="4"/>
  <c r="AC6" i="4"/>
  <c r="AB6" i="4"/>
  <c r="AC5" i="4"/>
  <c r="AB5" i="4"/>
  <c r="AC7" i="3"/>
  <c r="AB7" i="3"/>
  <c r="AC6" i="3"/>
  <c r="AC5" i="3"/>
  <c r="AB5" i="3"/>
  <c r="AM32" i="2"/>
  <c r="AM31" i="2"/>
  <c r="AM30" i="2"/>
  <c r="AM25" i="2"/>
  <c r="AM24" i="2"/>
  <c r="AM23" i="2"/>
  <c r="AM22" i="2"/>
  <c r="AC4" i="2"/>
  <c r="AB6" i="2"/>
  <c r="AB5" i="2"/>
  <c r="AB4" i="2"/>
  <c r="AG32" i="2"/>
  <c r="AG31" i="2"/>
  <c r="AG30" i="2"/>
  <c r="AG25" i="2"/>
  <c r="AG24" i="2"/>
  <c r="AG23" i="2"/>
  <c r="AG22" i="2"/>
  <c r="AG14" i="2"/>
  <c r="AF14" i="2"/>
  <c r="BL14" i="2" s="1"/>
  <c r="AJ28" i="2" l="1"/>
  <c r="AJ20" i="2"/>
  <c r="AD21" i="4"/>
  <c r="AD29" i="4"/>
  <c r="AK28" i="4"/>
  <c r="AK20" i="4"/>
  <c r="AE21" i="4"/>
  <c r="AE29" i="4"/>
  <c r="AE29" i="3"/>
  <c r="AE21" i="3"/>
  <c r="BO20" i="3"/>
  <c r="BO28" i="3"/>
  <c r="AD21" i="3"/>
  <c r="AD29" i="3"/>
  <c r="BO28" i="4"/>
  <c r="BO20" i="4"/>
  <c r="BN28" i="2"/>
  <c r="AD29" i="2"/>
  <c r="BN20" i="2"/>
  <c r="AE21" i="2"/>
  <c r="AE29" i="2"/>
  <c r="AD21" i="2"/>
  <c r="AN21" i="2"/>
  <c r="BP21" i="2" s="1"/>
  <c r="AK30" i="2"/>
  <c r="AE19" i="2"/>
  <c r="AK22" i="2"/>
  <c r="AK22" i="4"/>
  <c r="AK17" i="4"/>
  <c r="AK14" i="4"/>
  <c r="AK15" i="4"/>
  <c r="AK33" i="4"/>
  <c r="AK35" i="4"/>
  <c r="AO35" i="4" s="1"/>
  <c r="AK26" i="4"/>
  <c r="AK34" i="4"/>
  <c r="AK23" i="4"/>
  <c r="AK30" i="4"/>
  <c r="AK18" i="4"/>
  <c r="AD18" i="2"/>
  <c r="BK18" i="2" s="1"/>
  <c r="AD23" i="2"/>
  <c r="BK23" i="2" s="1"/>
  <c r="AD27" i="2"/>
  <c r="BK27" i="2" s="1"/>
  <c r="AD32" i="2"/>
  <c r="BK32" i="2" s="1"/>
  <c r="AD20" i="2"/>
  <c r="BK20" i="2" s="1"/>
  <c r="AD30" i="2"/>
  <c r="BK30" i="2" s="1"/>
  <c r="AD17" i="2"/>
  <c r="AD26" i="2"/>
  <c r="BK26" i="2" s="1"/>
  <c r="AD35" i="2"/>
  <c r="BK35" i="2" s="1"/>
  <c r="AD15" i="2"/>
  <c r="BK15" i="2" s="1"/>
  <c r="AD19" i="2"/>
  <c r="BK19" i="2" s="1"/>
  <c r="AD24" i="2"/>
  <c r="BK24" i="2" s="1"/>
  <c r="AD28" i="2"/>
  <c r="BK28" i="2" s="1"/>
  <c r="AD33" i="2"/>
  <c r="BK33" i="2" s="1"/>
  <c r="AD14" i="2"/>
  <c r="BK14" i="2" s="1"/>
  <c r="AD25" i="2"/>
  <c r="BK25" i="2" s="1"/>
  <c r="AD34" i="2"/>
  <c r="BK34" i="2" s="1"/>
  <c r="AD22" i="2"/>
  <c r="BK22" i="2" s="1"/>
  <c r="AD31" i="2"/>
  <c r="BK31" i="2" s="1"/>
  <c r="AE36" i="4"/>
  <c r="AE34" i="4"/>
  <c r="AE32" i="4"/>
  <c r="AE30" i="4"/>
  <c r="AE27" i="4"/>
  <c r="AE25" i="4"/>
  <c r="AE23" i="4"/>
  <c r="AE20" i="4"/>
  <c r="AE18" i="4"/>
  <c r="AE16" i="4"/>
  <c r="AE14" i="4"/>
  <c r="AE35" i="4"/>
  <c r="AE33" i="4"/>
  <c r="AE31" i="4"/>
  <c r="AE28" i="4"/>
  <c r="AE26" i="4"/>
  <c r="AE24" i="4"/>
  <c r="AE22" i="4"/>
  <c r="AE19" i="4"/>
  <c r="AE17" i="4"/>
  <c r="AE15" i="4"/>
  <c r="AD36" i="4"/>
  <c r="AD34" i="4"/>
  <c r="AD32" i="4"/>
  <c r="AD30" i="4"/>
  <c r="AD27" i="4"/>
  <c r="AD25" i="4"/>
  <c r="AD23" i="4"/>
  <c r="AD20" i="4"/>
  <c r="AD18" i="4"/>
  <c r="AD16" i="4"/>
  <c r="AD14" i="4"/>
  <c r="AD35" i="4"/>
  <c r="AD33" i="4"/>
  <c r="AD31" i="4"/>
  <c r="AD28" i="4"/>
  <c r="AD26" i="4"/>
  <c r="AD24" i="4"/>
  <c r="AD22" i="4"/>
  <c r="AD19" i="4"/>
  <c r="AD17" i="4"/>
  <c r="AD15" i="4"/>
  <c r="AK33" i="3"/>
  <c r="AK30" i="3"/>
  <c r="AK35" i="3"/>
  <c r="AK26" i="3"/>
  <c r="AK34" i="3"/>
  <c r="AK23" i="3"/>
  <c r="AK18" i="3"/>
  <c r="AK22" i="3"/>
  <c r="AK17" i="3"/>
  <c r="AD36" i="3"/>
  <c r="AD34" i="3"/>
  <c r="BL34" i="3" s="1"/>
  <c r="AD32" i="3"/>
  <c r="BL32" i="3" s="1"/>
  <c r="AD30" i="3"/>
  <c r="BL30" i="3" s="1"/>
  <c r="AD27" i="3"/>
  <c r="BL27" i="3" s="1"/>
  <c r="AD25" i="3"/>
  <c r="BL25" i="3" s="1"/>
  <c r="AD23" i="3"/>
  <c r="BL23" i="3" s="1"/>
  <c r="AD20" i="3"/>
  <c r="BL20" i="3" s="1"/>
  <c r="AD18" i="3"/>
  <c r="BL18" i="3" s="1"/>
  <c r="AD16" i="3"/>
  <c r="AD14" i="3"/>
  <c r="BL14" i="3" s="1"/>
  <c r="AD35" i="3"/>
  <c r="BL35" i="3" s="1"/>
  <c r="AD33" i="3"/>
  <c r="BL33" i="3" s="1"/>
  <c r="AD31" i="3"/>
  <c r="BL31" i="3" s="1"/>
  <c r="AD28" i="3"/>
  <c r="BL28" i="3" s="1"/>
  <c r="AD26" i="3"/>
  <c r="BL26" i="3" s="1"/>
  <c r="AD24" i="3"/>
  <c r="BL24" i="3" s="1"/>
  <c r="AD22" i="3"/>
  <c r="BL22" i="3" s="1"/>
  <c r="AD19" i="3"/>
  <c r="BL19" i="3" s="1"/>
  <c r="AD17" i="3"/>
  <c r="BL17" i="3" s="1"/>
  <c r="AD15" i="3"/>
  <c r="BL15" i="3" s="1"/>
  <c r="AK14" i="3"/>
  <c r="AE33" i="3"/>
  <c r="AE26" i="3"/>
  <c r="AE19" i="3"/>
  <c r="AK15" i="3"/>
  <c r="AE36" i="3"/>
  <c r="AE34" i="3"/>
  <c r="AE32" i="3"/>
  <c r="AE30" i="3"/>
  <c r="AE27" i="3"/>
  <c r="AE25" i="3"/>
  <c r="AE23" i="3"/>
  <c r="AE20" i="3"/>
  <c r="AE18" i="3"/>
  <c r="AE16" i="3"/>
  <c r="AE14" i="3"/>
  <c r="AE35" i="3"/>
  <c r="AE31" i="3"/>
  <c r="AE28" i="3"/>
  <c r="AE24" i="3"/>
  <c r="AE22" i="3"/>
  <c r="AE17" i="3"/>
  <c r="AE15" i="3"/>
  <c r="AE35" i="2"/>
  <c r="AE28" i="2"/>
  <c r="AE30" i="2"/>
  <c r="AE31" i="2"/>
  <c r="AE32" i="2"/>
  <c r="AE33" i="2"/>
  <c r="AE34" i="2"/>
  <c r="AE22" i="2"/>
  <c r="AE23" i="2"/>
  <c r="AE24" i="2"/>
  <c r="AE25" i="2"/>
  <c r="AE26" i="2"/>
  <c r="AE27" i="2"/>
  <c r="AE20" i="2"/>
  <c r="AK14" i="2"/>
  <c r="AK15" i="2"/>
  <c r="AK17" i="2"/>
  <c r="AK18" i="2"/>
  <c r="AK23" i="2"/>
  <c r="AK26" i="2"/>
  <c r="AK33" i="2"/>
  <c r="AK34" i="2"/>
  <c r="AK35" i="2"/>
  <c r="AE14" i="2"/>
  <c r="AE15" i="2"/>
  <c r="AE17" i="2"/>
  <c r="AE18" i="2"/>
  <c r="AJ14" i="2"/>
  <c r="BN14" i="2" s="1"/>
  <c r="AJ15" i="2"/>
  <c r="BN15" i="2" s="1"/>
  <c r="AJ17" i="2"/>
  <c r="BN17" i="2" s="1"/>
  <c r="AJ22" i="2"/>
  <c r="BN22" i="2" s="1"/>
  <c r="AJ18" i="2"/>
  <c r="BN18" i="2" s="1"/>
  <c r="Q32" i="4"/>
  <c r="Q31" i="4"/>
  <c r="Q30" i="4"/>
  <c r="Q28" i="4"/>
  <c r="Q27" i="4"/>
  <c r="Q26" i="4"/>
  <c r="R32" i="4"/>
  <c r="R31" i="4"/>
  <c r="R30" i="4"/>
  <c r="R28" i="4"/>
  <c r="R27" i="4"/>
  <c r="R26" i="4"/>
  <c r="Q32" i="3"/>
  <c r="Q31" i="3"/>
  <c r="Q30" i="3"/>
  <c r="Q28" i="3"/>
  <c r="Q27" i="3"/>
  <c r="Q26" i="3"/>
  <c r="R32" i="3"/>
  <c r="R31" i="3"/>
  <c r="R30" i="3"/>
  <c r="R28" i="3"/>
  <c r="R27" i="3"/>
  <c r="R26" i="3"/>
  <c r="Q32" i="2"/>
  <c r="Q31" i="2"/>
  <c r="Q30" i="2"/>
  <c r="Q27" i="2"/>
  <c r="Q26" i="2"/>
  <c r="BK17" i="2" l="1"/>
  <c r="AH19" i="4"/>
  <c r="BN19" i="4" s="1"/>
  <c r="BL19" i="4"/>
  <c r="AH14" i="4"/>
  <c r="BN14" i="4" s="1"/>
  <c r="BL14" i="4"/>
  <c r="AH32" i="4"/>
  <c r="BN32" i="4" s="1"/>
  <c r="BL32" i="4"/>
  <c r="AH31" i="4"/>
  <c r="BN31" i="4" s="1"/>
  <c r="BL31" i="4"/>
  <c r="BN16" i="4"/>
  <c r="BL16" i="4"/>
  <c r="AH34" i="4"/>
  <c r="BN34" i="4" s="1"/>
  <c r="BL34" i="4"/>
  <c r="AH15" i="4"/>
  <c r="BN15" i="4" s="1"/>
  <c r="BL15" i="4"/>
  <c r="AH24" i="4"/>
  <c r="BN24" i="4" s="1"/>
  <c r="BL24" i="4"/>
  <c r="AH33" i="4"/>
  <c r="BN33" i="4" s="1"/>
  <c r="BL33" i="4"/>
  <c r="AH18" i="4"/>
  <c r="BN18" i="4" s="1"/>
  <c r="BL18" i="4"/>
  <c r="AH27" i="4"/>
  <c r="BN27" i="4" s="1"/>
  <c r="BL27" i="4"/>
  <c r="BN36" i="4"/>
  <c r="BL36" i="4"/>
  <c r="BL29" i="4"/>
  <c r="AH29" i="4"/>
  <c r="AH28" i="4"/>
  <c r="BN28" i="4" s="1"/>
  <c r="BL28" i="4"/>
  <c r="AH23" i="4"/>
  <c r="BN23" i="4" s="1"/>
  <c r="BL23" i="4"/>
  <c r="AH22" i="4"/>
  <c r="BN22" i="4" s="1"/>
  <c r="BL22" i="4"/>
  <c r="AH25" i="4"/>
  <c r="BN25" i="4" s="1"/>
  <c r="BL25" i="4"/>
  <c r="AH17" i="4"/>
  <c r="BN17" i="4" s="1"/>
  <c r="BL17" i="4"/>
  <c r="AH26" i="4"/>
  <c r="BN26" i="4" s="1"/>
  <c r="BL26" i="4"/>
  <c r="AH35" i="4"/>
  <c r="BN35" i="4" s="1"/>
  <c r="BL35" i="4"/>
  <c r="AH20" i="4"/>
  <c r="BN20" i="4" s="1"/>
  <c r="BL20" i="4"/>
  <c r="AH30" i="4"/>
  <c r="BN30" i="4" s="1"/>
  <c r="BL30" i="4"/>
  <c r="BL21" i="4"/>
  <c r="AH21" i="4"/>
  <c r="BN16" i="3"/>
  <c r="BL16" i="3"/>
  <c r="BN36" i="3"/>
  <c r="BL36" i="3"/>
  <c r="BL29" i="3"/>
  <c r="AH29" i="3"/>
  <c r="BL21" i="3"/>
  <c r="AH21" i="3"/>
  <c r="AH29" i="2"/>
  <c r="BM29" i="2" s="1"/>
  <c r="BK29" i="2"/>
  <c r="AH21" i="2"/>
  <c r="BM21" i="2" s="1"/>
  <c r="BK21" i="2"/>
  <c r="AI14" i="4"/>
  <c r="AI20" i="4"/>
  <c r="R25" i="4"/>
  <c r="R24" i="4"/>
  <c r="R22" i="4"/>
  <c r="R20" i="4"/>
  <c r="R19" i="4"/>
  <c r="R18" i="4"/>
  <c r="R17" i="4"/>
  <c r="Q20" i="4"/>
  <c r="Q19" i="4"/>
  <c r="Q18" i="4"/>
  <c r="Q17" i="4"/>
  <c r="Q25" i="3"/>
  <c r="Q24" i="3"/>
  <c r="Q23" i="3"/>
  <c r="Q22" i="3"/>
  <c r="R25" i="3"/>
  <c r="R24" i="3"/>
  <c r="R23" i="3"/>
  <c r="R22" i="3"/>
  <c r="R20" i="3"/>
  <c r="R19" i="3"/>
  <c r="R18" i="3"/>
  <c r="R17" i="3"/>
  <c r="Q19" i="3"/>
  <c r="Q18" i="3"/>
  <c r="Q17" i="3"/>
  <c r="Q25" i="2"/>
  <c r="Q24" i="2"/>
  <c r="Q23" i="2"/>
  <c r="Q22" i="2"/>
  <c r="Q20" i="2"/>
  <c r="Q19" i="2"/>
  <c r="Q18" i="2"/>
  <c r="Q17" i="2"/>
  <c r="N30" i="4"/>
  <c r="N26" i="4"/>
  <c r="O30" i="4"/>
  <c r="O26" i="4"/>
  <c r="O22" i="4"/>
  <c r="O17" i="4"/>
  <c r="N22" i="4"/>
  <c r="N17" i="4"/>
  <c r="N30" i="3"/>
  <c r="N26" i="3"/>
  <c r="O30" i="3"/>
  <c r="O26" i="3"/>
  <c r="N30" i="2"/>
  <c r="N26" i="2"/>
  <c r="O30" i="2"/>
  <c r="O26" i="2"/>
  <c r="O22" i="3"/>
  <c r="N22" i="3"/>
  <c r="O17" i="3"/>
  <c r="N17" i="3"/>
  <c r="O22" i="2"/>
  <c r="O17" i="2"/>
  <c r="N22" i="2"/>
  <c r="G16" i="4"/>
  <c r="G17" i="4"/>
  <c r="G26" i="4"/>
  <c r="F26" i="4"/>
  <c r="F17" i="4"/>
  <c r="F16" i="4"/>
  <c r="G16" i="3"/>
  <c r="G17" i="3"/>
  <c r="G26" i="3"/>
  <c r="F26" i="3"/>
  <c r="F17" i="3"/>
  <c r="F16" i="3"/>
  <c r="F26" i="2"/>
  <c r="F17" i="2"/>
  <c r="F16" i="2"/>
  <c r="D16" i="3"/>
  <c r="D14" i="3"/>
  <c r="G15" i="3"/>
  <c r="G14" i="3"/>
  <c r="G15" i="4"/>
  <c r="G14" i="4"/>
  <c r="F15" i="4"/>
  <c r="F14" i="4"/>
  <c r="F14" i="3"/>
  <c r="F15" i="3"/>
  <c r="F15" i="2"/>
  <c r="AF32" i="3"/>
  <c r="BM32" i="3" s="1"/>
  <c r="AF31" i="3"/>
  <c r="BM31" i="3" s="1"/>
  <c r="AF30" i="3"/>
  <c r="BM30" i="3" s="1"/>
  <c r="AF25" i="3"/>
  <c r="BM25" i="3" s="1"/>
  <c r="AF24" i="3"/>
  <c r="BM24" i="3" s="1"/>
  <c r="AF23" i="3"/>
  <c r="BM23" i="3" s="1"/>
  <c r="AF22" i="3"/>
  <c r="BM22" i="3" s="1"/>
  <c r="C16" i="4"/>
  <c r="C14" i="4"/>
  <c r="C16" i="3"/>
  <c r="C14" i="3"/>
  <c r="B16" i="2"/>
  <c r="B14" i="2"/>
  <c r="AB15" i="2" s="1"/>
  <c r="AI32" i="4" l="1"/>
  <c r="AI28" i="4"/>
  <c r="AI25" i="4"/>
  <c r="AI33" i="4"/>
  <c r="AI23" i="4"/>
  <c r="AI19" i="4"/>
  <c r="CO15" i="2"/>
  <c r="CA15" i="2"/>
  <c r="AI31" i="4"/>
  <c r="AI35" i="4"/>
  <c r="AI24" i="4"/>
  <c r="AI22" i="4"/>
  <c r="AI26" i="4"/>
  <c r="AI27" i="4"/>
  <c r="AI15" i="4"/>
  <c r="BN21" i="4"/>
  <c r="AI21" i="4"/>
  <c r="AQ21" i="4" s="1"/>
  <c r="AT21" i="4" s="1"/>
  <c r="AP21" i="4"/>
  <c r="CB21" i="4" s="1"/>
  <c r="BN29" i="4"/>
  <c r="AI29" i="4"/>
  <c r="AQ29" i="4" s="1"/>
  <c r="AT29" i="4" s="1"/>
  <c r="AP29" i="4"/>
  <c r="CB29" i="4" s="1"/>
  <c r="AB16" i="4"/>
  <c r="AB29" i="4"/>
  <c r="AB21" i="4"/>
  <c r="AB20" i="4"/>
  <c r="AB28" i="4"/>
  <c r="AI34" i="4"/>
  <c r="AI30" i="4"/>
  <c r="AI17" i="4"/>
  <c r="AI18" i="4"/>
  <c r="AI29" i="3"/>
  <c r="AQ29" i="3" s="1"/>
  <c r="AT29" i="3" s="1"/>
  <c r="BN29" i="3"/>
  <c r="AP29" i="3"/>
  <c r="CB29" i="3" s="1"/>
  <c r="AB28" i="3"/>
  <c r="AB29" i="3"/>
  <c r="AI21" i="3"/>
  <c r="AQ21" i="3" s="1"/>
  <c r="AT21" i="3" s="1"/>
  <c r="BN21" i="3"/>
  <c r="AP21" i="3"/>
  <c r="CB21" i="3" s="1"/>
  <c r="AI21" i="2"/>
  <c r="AQ21" i="2" s="1"/>
  <c r="AT21" i="2" s="1"/>
  <c r="AP29" i="2"/>
  <c r="AP21" i="2"/>
  <c r="AI29" i="2"/>
  <c r="AQ29" i="2" s="1"/>
  <c r="AT29" i="2" s="1"/>
  <c r="AB14" i="4"/>
  <c r="AB15" i="4"/>
  <c r="AB29" i="2"/>
  <c r="AB28" i="2"/>
  <c r="CO28" i="2" s="1"/>
  <c r="AB21" i="2"/>
  <c r="AB20" i="2"/>
  <c r="CO20" i="2" s="1"/>
  <c r="AB20" i="3"/>
  <c r="AB21" i="3"/>
  <c r="AS29" i="2"/>
  <c r="CD29" i="2" s="1"/>
  <c r="AB36" i="2"/>
  <c r="AB34" i="3"/>
  <c r="AB30" i="3"/>
  <c r="AB25" i="3"/>
  <c r="AB18" i="3"/>
  <c r="AB16" i="3"/>
  <c r="AB36" i="3"/>
  <c r="AB23" i="3"/>
  <c r="AB31" i="3"/>
  <c r="AB22" i="3"/>
  <c r="AB33" i="3"/>
  <c r="AB24" i="3"/>
  <c r="AB32" i="3"/>
  <c r="AB27" i="3"/>
  <c r="AB19" i="3"/>
  <c r="AB35" i="3"/>
  <c r="AB26" i="3"/>
  <c r="AB17" i="3"/>
  <c r="AB14" i="3"/>
  <c r="AB15" i="3"/>
  <c r="AB17" i="4"/>
  <c r="AB14" i="2"/>
  <c r="AB19" i="4"/>
  <c r="AB18" i="4"/>
  <c r="AJ35" i="4"/>
  <c r="AJ34" i="4"/>
  <c r="AB34" i="4"/>
  <c r="AJ33" i="4"/>
  <c r="AB33" i="4"/>
  <c r="AN32" i="4"/>
  <c r="BQ32" i="4" s="1"/>
  <c r="AJ31" i="4"/>
  <c r="BO31" i="4" s="1"/>
  <c r="AJ30" i="4"/>
  <c r="BO30" i="4" s="1"/>
  <c r="AN28" i="4"/>
  <c r="BQ28" i="4" s="1"/>
  <c r="AJ27" i="4"/>
  <c r="AJ26" i="4"/>
  <c r="AB32" i="4"/>
  <c r="AN25" i="4"/>
  <c r="BQ25" i="4" s="1"/>
  <c r="AJ24" i="4"/>
  <c r="BO24" i="4" s="1"/>
  <c r="AB24" i="4"/>
  <c r="AJ23" i="4"/>
  <c r="BO23" i="4" s="1"/>
  <c r="AJ22" i="4"/>
  <c r="BO22" i="4" s="1"/>
  <c r="AN20" i="4"/>
  <c r="BQ20" i="4" s="1"/>
  <c r="AJ19" i="4"/>
  <c r="BO19" i="4" s="1"/>
  <c r="AJ18" i="4"/>
  <c r="AJ17" i="4"/>
  <c r="D16" i="4"/>
  <c r="AJ15" i="4"/>
  <c r="AJ14" i="4"/>
  <c r="D14" i="4"/>
  <c r="AJ35" i="3"/>
  <c r="AH35" i="3"/>
  <c r="BN35" i="3" s="1"/>
  <c r="AJ34" i="3"/>
  <c r="AH34" i="3"/>
  <c r="BN34" i="3" s="1"/>
  <c r="AJ33" i="3"/>
  <c r="AH33" i="3"/>
  <c r="BN33" i="3" s="1"/>
  <c r="AN32" i="3"/>
  <c r="AH32" i="3"/>
  <c r="BN32" i="3" s="1"/>
  <c r="AJ31" i="3"/>
  <c r="BO31" i="3" s="1"/>
  <c r="AH31" i="3"/>
  <c r="BN31" i="3" s="1"/>
  <c r="AJ30" i="3"/>
  <c r="BO30" i="3" s="1"/>
  <c r="AH30" i="3"/>
  <c r="BN30" i="3" s="1"/>
  <c r="AN28" i="3"/>
  <c r="AH28" i="3"/>
  <c r="BN28" i="3" s="1"/>
  <c r="AJ27" i="3"/>
  <c r="AH27" i="3"/>
  <c r="BN27" i="3" s="1"/>
  <c r="AJ26" i="3"/>
  <c r="AH26" i="3"/>
  <c r="BN26" i="3" s="1"/>
  <c r="AN25" i="3"/>
  <c r="AH25" i="3"/>
  <c r="BN25" i="3" s="1"/>
  <c r="AJ24" i="3"/>
  <c r="BO24" i="3" s="1"/>
  <c r="AH24" i="3"/>
  <c r="BN24" i="3" s="1"/>
  <c r="AJ23" i="3"/>
  <c r="BO23" i="3" s="1"/>
  <c r="AH23" i="3"/>
  <c r="BN23" i="3" s="1"/>
  <c r="AJ22" i="3"/>
  <c r="BO22" i="3" s="1"/>
  <c r="AH22" i="3"/>
  <c r="BN22" i="3" s="1"/>
  <c r="AN20" i="3"/>
  <c r="AH20" i="3"/>
  <c r="BN20" i="3" s="1"/>
  <c r="AJ19" i="3"/>
  <c r="BO19" i="3" s="1"/>
  <c r="AH19" i="3"/>
  <c r="BN19" i="3" s="1"/>
  <c r="AJ18" i="3"/>
  <c r="AH18" i="3"/>
  <c r="BN18" i="3" s="1"/>
  <c r="AJ17" i="3"/>
  <c r="AH17" i="3"/>
  <c r="BN17" i="3" s="1"/>
  <c r="AJ15" i="3"/>
  <c r="AH15" i="3"/>
  <c r="BN15" i="3" s="1"/>
  <c r="AJ14" i="3"/>
  <c r="AH14" i="3"/>
  <c r="BN14" i="3" s="1"/>
  <c r="AN27" i="3" l="1"/>
  <c r="BO27" i="3"/>
  <c r="CA15" i="4"/>
  <c r="CS15" i="2"/>
  <c r="CQ15" i="2"/>
  <c r="CA15" i="3"/>
  <c r="CS14" i="2"/>
  <c r="CO14" i="2"/>
  <c r="CA14" i="2"/>
  <c r="CQ14" i="2"/>
  <c r="CA14" i="3"/>
  <c r="BK16" i="3"/>
  <c r="CQ16" i="2"/>
  <c r="CA16" i="3"/>
  <c r="CS16" i="2"/>
  <c r="CA34" i="4"/>
  <c r="CS34" i="2"/>
  <c r="CQ35" i="2"/>
  <c r="CA35" i="3"/>
  <c r="CQ33" i="2"/>
  <c r="CA33" i="3"/>
  <c r="BK36" i="3"/>
  <c r="CQ36" i="2"/>
  <c r="CA36" i="3"/>
  <c r="CQ30" i="2"/>
  <c r="CA30" i="3"/>
  <c r="BK29" i="3"/>
  <c r="CQ29" i="2"/>
  <c r="CA29" i="3"/>
  <c r="CA29" i="4"/>
  <c r="CS29" i="2"/>
  <c r="CA33" i="4"/>
  <c r="CS33" i="2"/>
  <c r="CQ27" i="2"/>
  <c r="CA27" i="3"/>
  <c r="CQ34" i="2"/>
  <c r="CA34" i="3"/>
  <c r="CA29" i="2"/>
  <c r="CO29" i="2"/>
  <c r="CQ28" i="2"/>
  <c r="CA28" i="3"/>
  <c r="CS28" i="2"/>
  <c r="CA32" i="4"/>
  <c r="CS32" i="2"/>
  <c r="CQ26" i="2"/>
  <c r="CA26" i="3"/>
  <c r="CQ32" i="2"/>
  <c r="CA32" i="3"/>
  <c r="CQ31" i="2"/>
  <c r="CA31" i="3"/>
  <c r="CA36" i="2"/>
  <c r="CO36" i="2"/>
  <c r="CQ17" i="2"/>
  <c r="CA17" i="3"/>
  <c r="CA17" i="4"/>
  <c r="CS17" i="2"/>
  <c r="CQ22" i="2"/>
  <c r="CA22" i="3"/>
  <c r="CA24" i="4"/>
  <c r="CS24" i="2"/>
  <c r="CA19" i="4"/>
  <c r="CS19" i="2"/>
  <c r="CQ18" i="2"/>
  <c r="CA18" i="3"/>
  <c r="CA20" i="4"/>
  <c r="CS20" i="2"/>
  <c r="BK21" i="3"/>
  <c r="CQ21" i="2"/>
  <c r="CA21" i="3"/>
  <c r="CA18" i="4"/>
  <c r="CS18" i="2"/>
  <c r="BK20" i="3"/>
  <c r="CQ20" i="2"/>
  <c r="CA20" i="3"/>
  <c r="CQ19" i="2"/>
  <c r="CA19" i="3"/>
  <c r="CQ24" i="2"/>
  <c r="CA24" i="3"/>
  <c r="CQ23" i="2"/>
  <c r="CA23" i="3"/>
  <c r="CQ25" i="2"/>
  <c r="CA25" i="3"/>
  <c r="CA21" i="2"/>
  <c r="CO21" i="2"/>
  <c r="CA21" i="4"/>
  <c r="CS21" i="2"/>
  <c r="CA14" i="4"/>
  <c r="BK14" i="4"/>
  <c r="BK28" i="4"/>
  <c r="CA28" i="4"/>
  <c r="BK16" i="4"/>
  <c r="CA16" i="4"/>
  <c r="AN27" i="4"/>
  <c r="BQ27" i="4" s="1"/>
  <c r="BO27" i="4"/>
  <c r="BJ28" i="2"/>
  <c r="CA28" i="2"/>
  <c r="BJ20" i="2"/>
  <c r="CA20" i="2"/>
  <c r="BQ21" i="2"/>
  <c r="CB21" i="2"/>
  <c r="BJ14" i="2"/>
  <c r="BQ29" i="2"/>
  <c r="CB29" i="2"/>
  <c r="BK24" i="4"/>
  <c r="AN26" i="4"/>
  <c r="BQ26" i="4" s="1"/>
  <c r="BO26" i="4"/>
  <c r="BK19" i="4"/>
  <c r="BK29" i="4"/>
  <c r="AC29" i="4"/>
  <c r="AN34" i="4"/>
  <c r="BQ34" i="4" s="1"/>
  <c r="BO34" i="4"/>
  <c r="AN17" i="4"/>
  <c r="BQ17" i="4" s="1"/>
  <c r="BO17" i="4"/>
  <c r="BK33" i="4"/>
  <c r="AN35" i="4"/>
  <c r="BQ35" i="4" s="1"/>
  <c r="BO35" i="4"/>
  <c r="BK20" i="4"/>
  <c r="AC20" i="4"/>
  <c r="BR29" i="4"/>
  <c r="AU29" i="4"/>
  <c r="CE29" i="4" s="1"/>
  <c r="AS29" i="4"/>
  <c r="AN15" i="4"/>
  <c r="BQ15" i="4" s="1"/>
  <c r="BO15" i="4"/>
  <c r="BK34" i="4"/>
  <c r="BK15" i="4"/>
  <c r="BR21" i="4"/>
  <c r="AU21" i="4"/>
  <c r="CE21" i="4" s="1"/>
  <c r="AS21" i="4"/>
  <c r="AN14" i="4"/>
  <c r="BQ14" i="4" s="1"/>
  <c r="BO14" i="4"/>
  <c r="AN18" i="4"/>
  <c r="BQ18" i="4" s="1"/>
  <c r="BO18" i="4"/>
  <c r="BK32" i="4"/>
  <c r="AN33" i="4"/>
  <c r="BQ33" i="4" s="1"/>
  <c r="BO33" i="4"/>
  <c r="BK18" i="4"/>
  <c r="BK17" i="4"/>
  <c r="X43" i="2"/>
  <c r="BK21" i="4"/>
  <c r="AC21" i="4"/>
  <c r="AN14" i="3"/>
  <c r="AP14" i="3" s="1"/>
  <c r="BO14" i="3"/>
  <c r="AN17" i="3"/>
  <c r="BO17" i="3"/>
  <c r="AN26" i="3"/>
  <c r="AP26" i="3" s="1"/>
  <c r="CB26" i="3" s="1"/>
  <c r="BO26" i="3"/>
  <c r="AO28" i="3"/>
  <c r="BQ28" i="3"/>
  <c r="AN33" i="3"/>
  <c r="AP33" i="3" s="1"/>
  <c r="CB33" i="3" s="1"/>
  <c r="BO33" i="3"/>
  <c r="AN35" i="3"/>
  <c r="BO35" i="3"/>
  <c r="BK15" i="3"/>
  <c r="BK35" i="3"/>
  <c r="BK22" i="3"/>
  <c r="BK34" i="3"/>
  <c r="BK14" i="3"/>
  <c r="BK19" i="3"/>
  <c r="BK24" i="3"/>
  <c r="BK31" i="3"/>
  <c r="BK18" i="3"/>
  <c r="BR21" i="3"/>
  <c r="AU21" i="3"/>
  <c r="CE21" i="3" s="1"/>
  <c r="AS21" i="3"/>
  <c r="BK28" i="3"/>
  <c r="AC29" i="3"/>
  <c r="AC28" i="3"/>
  <c r="AN15" i="3"/>
  <c r="AP15" i="3" s="1"/>
  <c r="BO15" i="3"/>
  <c r="AN18" i="3"/>
  <c r="BO18" i="3"/>
  <c r="AO20" i="3"/>
  <c r="BQ20" i="3"/>
  <c r="AO25" i="3"/>
  <c r="BQ25" i="3"/>
  <c r="AO32" i="3"/>
  <c r="BQ32" i="3"/>
  <c r="AN34" i="3"/>
  <c r="BO34" i="3"/>
  <c r="BK17" i="3"/>
  <c r="BK27" i="3"/>
  <c r="BK23" i="3"/>
  <c r="BK25" i="3"/>
  <c r="BR29" i="3"/>
  <c r="AS29" i="3"/>
  <c r="AU29" i="3"/>
  <c r="CE29" i="3" s="1"/>
  <c r="BK26" i="3"/>
  <c r="BK32" i="3"/>
  <c r="BK33" i="3"/>
  <c r="BK30" i="3"/>
  <c r="AS21" i="2"/>
  <c r="CD21" i="2" s="1"/>
  <c r="AU21" i="2"/>
  <c r="CE21" i="2" s="1"/>
  <c r="BJ21" i="2"/>
  <c r="V47" i="2"/>
  <c r="BJ36" i="2"/>
  <c r="AU29" i="2"/>
  <c r="CE29" i="2" s="1"/>
  <c r="BJ29" i="2"/>
  <c r="BJ15" i="2"/>
  <c r="AN19" i="3"/>
  <c r="BQ19" i="3" s="1"/>
  <c r="AN19" i="4"/>
  <c r="BQ19" i="4" s="1"/>
  <c r="X44" i="2"/>
  <c r="AC14" i="3"/>
  <c r="W43" i="2"/>
  <c r="W47" i="2"/>
  <c r="AW29" i="2"/>
  <c r="CF29" i="2" s="1"/>
  <c r="V44" i="2"/>
  <c r="AO28" i="4"/>
  <c r="AQ28" i="4" s="1"/>
  <c r="AT28" i="4" s="1"/>
  <c r="AP28" i="4"/>
  <c r="CB28" i="4" s="1"/>
  <c r="AO20" i="4"/>
  <c r="AQ20" i="4" s="1"/>
  <c r="AT20" i="4" s="1"/>
  <c r="AP20" i="4"/>
  <c r="CB20" i="4" s="1"/>
  <c r="W46" i="2"/>
  <c r="AD37" i="3"/>
  <c r="W44" i="2"/>
  <c r="W45" i="2"/>
  <c r="AO32" i="4"/>
  <c r="AQ32" i="4" s="1"/>
  <c r="AT32" i="4" s="1"/>
  <c r="AP32" i="4"/>
  <c r="CB32" i="4" s="1"/>
  <c r="AO25" i="4"/>
  <c r="AQ25" i="4" s="1"/>
  <c r="AT25" i="4" s="1"/>
  <c r="AP25" i="4"/>
  <c r="CB25" i="4" s="1"/>
  <c r="AP20" i="3"/>
  <c r="CB20" i="3" s="1"/>
  <c r="AO18" i="4"/>
  <c r="AQ18" i="4" s="1"/>
  <c r="AT18" i="4" s="1"/>
  <c r="AQ35" i="4"/>
  <c r="AT35" i="4" s="1"/>
  <c r="AP17" i="4"/>
  <c r="CB17" i="4" s="1"/>
  <c r="AO19" i="4"/>
  <c r="AQ19" i="4" s="1"/>
  <c r="AT19" i="4" s="1"/>
  <c r="AP19" i="4"/>
  <c r="CB19" i="4" s="1"/>
  <c r="AO27" i="4"/>
  <c r="AQ27" i="4" s="1"/>
  <c r="AT27" i="4" s="1"/>
  <c r="AP27" i="4"/>
  <c r="CB27" i="4" s="1"/>
  <c r="AO33" i="4"/>
  <c r="AQ33" i="4" s="1"/>
  <c r="AT33" i="4" s="1"/>
  <c r="AI17" i="3"/>
  <c r="AP17" i="3"/>
  <c r="CB17" i="3" s="1"/>
  <c r="AI19" i="3"/>
  <c r="AP19" i="3"/>
  <c r="CB19" i="3" s="1"/>
  <c r="AI31" i="3"/>
  <c r="AI32" i="3"/>
  <c r="AQ32" i="3" s="1"/>
  <c r="AT32" i="3" s="1"/>
  <c r="AP32" i="3"/>
  <c r="CB32" i="3" s="1"/>
  <c r="AI15" i="3"/>
  <c r="AI18" i="3"/>
  <c r="AP18" i="3"/>
  <c r="CB18" i="3" s="1"/>
  <c r="AI24" i="3"/>
  <c r="AI34" i="3"/>
  <c r="AP34" i="3"/>
  <c r="CB34" i="3" s="1"/>
  <c r="AI23" i="3"/>
  <c r="AI26" i="3"/>
  <c r="AI28" i="3"/>
  <c r="AQ28" i="3" s="1"/>
  <c r="AT28" i="3" s="1"/>
  <c r="AP28" i="3"/>
  <c r="CB28" i="3" s="1"/>
  <c r="AI33" i="3"/>
  <c r="AI22" i="3"/>
  <c r="AI35" i="3"/>
  <c r="AI25" i="3"/>
  <c r="AP25" i="3"/>
  <c r="CB25" i="3" s="1"/>
  <c r="AI27" i="3"/>
  <c r="AP27" i="3"/>
  <c r="CB27" i="3" s="1"/>
  <c r="AI30" i="3"/>
  <c r="AD9" i="2"/>
  <c r="AI14" i="3"/>
  <c r="AC32" i="3"/>
  <c r="AC34" i="3"/>
  <c r="AC33" i="3"/>
  <c r="AC33" i="4"/>
  <c r="AC18" i="4"/>
  <c r="AC19" i="4"/>
  <c r="AC14" i="4"/>
  <c r="AC34" i="4"/>
  <c r="AC24" i="4"/>
  <c r="AC32" i="4"/>
  <c r="AC17" i="4"/>
  <c r="AI20" i="3"/>
  <c r="AN24" i="4"/>
  <c r="BQ24" i="4" s="1"/>
  <c r="AN31" i="4"/>
  <c r="BQ31" i="4" s="1"/>
  <c r="AN24" i="3"/>
  <c r="AN31" i="3"/>
  <c r="AN22" i="3"/>
  <c r="AN23" i="3"/>
  <c r="AN30" i="3"/>
  <c r="AN30" i="4"/>
  <c r="BQ30" i="4" s="1"/>
  <c r="AN23" i="4"/>
  <c r="BQ23" i="4" s="1"/>
  <c r="AN22" i="4"/>
  <c r="BQ22" i="4" s="1"/>
  <c r="AC15" i="3"/>
  <c r="AC15" i="4"/>
  <c r="AB27" i="4"/>
  <c r="AB30" i="4"/>
  <c r="AB25" i="4"/>
  <c r="AB31" i="4"/>
  <c r="AB26" i="4"/>
  <c r="AB36" i="4"/>
  <c r="AB23" i="4"/>
  <c r="AB35" i="4"/>
  <c r="AB22" i="4"/>
  <c r="AC16" i="3"/>
  <c r="AF32" i="2"/>
  <c r="BL32" i="2" s="1"/>
  <c r="AF31" i="2"/>
  <c r="BL31" i="2" s="1"/>
  <c r="AF30" i="2"/>
  <c r="BL30" i="2" s="1"/>
  <c r="AF25" i="2"/>
  <c r="BL25" i="2" s="1"/>
  <c r="AF24" i="2"/>
  <c r="BL24" i="2" s="1"/>
  <c r="AF23" i="2"/>
  <c r="BL23" i="2" s="1"/>
  <c r="AF22" i="2"/>
  <c r="BL22" i="2" s="1"/>
  <c r="AL23" i="2"/>
  <c r="BO23" i="2" s="1"/>
  <c r="AQ25" i="3" l="1"/>
  <c r="AT25" i="3" s="1"/>
  <c r="AQ27" i="3"/>
  <c r="AT27" i="3" s="1"/>
  <c r="AO27" i="3"/>
  <c r="BQ27" i="3"/>
  <c r="AP15" i="4"/>
  <c r="AP26" i="4"/>
  <c r="CB26" i="4" s="1"/>
  <c r="AP14" i="4"/>
  <c r="CB14" i="4" s="1"/>
  <c r="CT15" i="2"/>
  <c r="CR15" i="2"/>
  <c r="CT14" i="2"/>
  <c r="CR14" i="2"/>
  <c r="CR16" i="2"/>
  <c r="CT34" i="2"/>
  <c r="CT33" i="2"/>
  <c r="CR29" i="2"/>
  <c r="CS36" i="2"/>
  <c r="CA30" i="4"/>
  <c r="CS30" i="2"/>
  <c r="CR33" i="2"/>
  <c r="CA26" i="4"/>
  <c r="CS26" i="2"/>
  <c r="CT32" i="2"/>
  <c r="CR34" i="2"/>
  <c r="CA35" i="4"/>
  <c r="CS35" i="2"/>
  <c r="CA31" i="4"/>
  <c r="CS31" i="2"/>
  <c r="CA27" i="4"/>
  <c r="CS27" i="2"/>
  <c r="CR32" i="2"/>
  <c r="CR28" i="2"/>
  <c r="CT29" i="2"/>
  <c r="CT21" i="2"/>
  <c r="AQ20" i="3"/>
  <c r="AT20" i="3" s="1"/>
  <c r="BN37" i="3"/>
  <c r="CT24" i="2"/>
  <c r="CT17" i="2"/>
  <c r="BM37" i="3"/>
  <c r="BL37" i="3"/>
  <c r="CT20" i="2"/>
  <c r="CT18" i="2"/>
  <c r="CA23" i="4"/>
  <c r="CS23" i="2"/>
  <c r="CA25" i="4"/>
  <c r="CS25" i="2"/>
  <c r="CA22" i="4"/>
  <c r="CS22" i="2"/>
  <c r="CT19" i="2"/>
  <c r="CQ37" i="2"/>
  <c r="BR15" i="3"/>
  <c r="CB15" i="3"/>
  <c r="AW21" i="3"/>
  <c r="AY21" i="3" s="1"/>
  <c r="CD21" i="3"/>
  <c r="AP34" i="4"/>
  <c r="CB34" i="4" s="1"/>
  <c r="AP33" i="4"/>
  <c r="CB33" i="4" s="1"/>
  <c r="AO34" i="4"/>
  <c r="AQ34" i="4" s="1"/>
  <c r="AT34" i="4" s="1"/>
  <c r="AP18" i="4"/>
  <c r="CB18" i="4" s="1"/>
  <c r="AW29" i="3"/>
  <c r="AY29" i="3" s="1"/>
  <c r="CD29" i="3"/>
  <c r="BR14" i="3"/>
  <c r="CB14" i="3"/>
  <c r="AO15" i="4"/>
  <c r="AQ15" i="4" s="1"/>
  <c r="AT15" i="4" s="1"/>
  <c r="BR14" i="4"/>
  <c r="AW29" i="4"/>
  <c r="CF29" i="4" s="1"/>
  <c r="CD29" i="4"/>
  <c r="AW21" i="4"/>
  <c r="CF21" i="4" s="1"/>
  <c r="CD21" i="4"/>
  <c r="BR15" i="4"/>
  <c r="CB15" i="4"/>
  <c r="BK36" i="4"/>
  <c r="CA36" i="4"/>
  <c r="AW21" i="2"/>
  <c r="CF21" i="2" s="1"/>
  <c r="BK30" i="4"/>
  <c r="AS25" i="4"/>
  <c r="BR25" i="4"/>
  <c r="AS20" i="4"/>
  <c r="BR20" i="4"/>
  <c r="AV29" i="4"/>
  <c r="BK22" i="4"/>
  <c r="BK26" i="4"/>
  <c r="AS27" i="4"/>
  <c r="CD27" i="4" s="1"/>
  <c r="BR27" i="4"/>
  <c r="AS17" i="4"/>
  <c r="BR17" i="4"/>
  <c r="AS26" i="4"/>
  <c r="CD26" i="4" s="1"/>
  <c r="BP16" i="4"/>
  <c r="BK35" i="4"/>
  <c r="BK31" i="4"/>
  <c r="BK27" i="4"/>
  <c r="AO17" i="4"/>
  <c r="AQ17" i="4" s="1"/>
  <c r="AT17" i="4" s="1"/>
  <c r="AO26" i="4"/>
  <c r="AQ26" i="4" s="1"/>
  <c r="AT26" i="4" s="1"/>
  <c r="AO14" i="4"/>
  <c r="AQ14" i="4" s="1"/>
  <c r="AT14" i="4" s="1"/>
  <c r="AS32" i="4"/>
  <c r="BR32" i="4"/>
  <c r="AS28" i="4"/>
  <c r="CD28" i="4" s="1"/>
  <c r="BR28" i="4"/>
  <c r="BO36" i="4"/>
  <c r="BP36" i="4"/>
  <c r="BO16" i="4"/>
  <c r="BK23" i="4"/>
  <c r="BK25" i="4"/>
  <c r="AS19" i="4"/>
  <c r="BR19" i="4"/>
  <c r="AP35" i="4"/>
  <c r="CB35" i="4" s="1"/>
  <c r="AS18" i="4"/>
  <c r="BR18" i="4"/>
  <c r="AV21" i="4"/>
  <c r="AP22" i="3"/>
  <c r="CB22" i="3" s="1"/>
  <c r="BQ22" i="3"/>
  <c r="AS25" i="3"/>
  <c r="CD25" i="3" s="1"/>
  <c r="BR25" i="3"/>
  <c r="AS28" i="3"/>
  <c r="CD28" i="3" s="1"/>
  <c r="BR28" i="3"/>
  <c r="AS18" i="3"/>
  <c r="BR18" i="3"/>
  <c r="AS32" i="3"/>
  <c r="BR32" i="3"/>
  <c r="AV29" i="3"/>
  <c r="AV21" i="3"/>
  <c r="AP31" i="3"/>
  <c r="BQ31" i="3"/>
  <c r="AS34" i="3"/>
  <c r="BR34" i="3"/>
  <c r="AS17" i="3"/>
  <c r="CD17" i="3" s="1"/>
  <c r="BR17" i="3"/>
  <c r="AO34" i="3"/>
  <c r="AQ34" i="3" s="1"/>
  <c r="AT34" i="3" s="1"/>
  <c r="BQ34" i="3"/>
  <c r="AO18" i="3"/>
  <c r="AQ18" i="3" s="1"/>
  <c r="AT18" i="3" s="1"/>
  <c r="BQ18" i="3"/>
  <c r="AO35" i="3"/>
  <c r="AQ35" i="3" s="1"/>
  <c r="AT35" i="3" s="1"/>
  <c r="BQ35" i="3"/>
  <c r="AO17" i="3"/>
  <c r="AQ17" i="3" s="1"/>
  <c r="AT17" i="3" s="1"/>
  <c r="BQ17" i="3"/>
  <c r="AP30" i="3"/>
  <c r="CB30" i="3" s="1"/>
  <c r="BQ30" i="3"/>
  <c r="AP24" i="3"/>
  <c r="CB24" i="3" s="1"/>
  <c r="BQ24" i="3"/>
  <c r="AS27" i="3"/>
  <c r="CD27" i="3" s="1"/>
  <c r="BR27" i="3"/>
  <c r="AS33" i="3"/>
  <c r="BR33" i="3"/>
  <c r="AS26" i="3"/>
  <c r="BR26" i="3"/>
  <c r="AP23" i="3"/>
  <c r="CB23" i="3" s="1"/>
  <c r="BQ23" i="3"/>
  <c r="AP35" i="3"/>
  <c r="CB35" i="3" s="1"/>
  <c r="AS19" i="3"/>
  <c r="CD19" i="3" s="1"/>
  <c r="BR19" i="3"/>
  <c r="AS20" i="3"/>
  <c r="CD20" i="3" s="1"/>
  <c r="BR20" i="3"/>
  <c r="AO15" i="3"/>
  <c r="AQ15" i="3" s="1"/>
  <c r="AT15" i="3" s="1"/>
  <c r="BQ15" i="3"/>
  <c r="AO33" i="3"/>
  <c r="AQ33" i="3" s="1"/>
  <c r="AT33" i="3" s="1"/>
  <c r="BQ33" i="3"/>
  <c r="AO26" i="3"/>
  <c r="AQ26" i="3" s="1"/>
  <c r="AT26" i="3" s="1"/>
  <c r="BQ26" i="3"/>
  <c r="AO14" i="3"/>
  <c r="AQ14" i="3" s="1"/>
  <c r="AT14" i="3" s="1"/>
  <c r="BQ14" i="3"/>
  <c r="AO19" i="3"/>
  <c r="AQ19" i="3" s="1"/>
  <c r="AT19" i="3" s="1"/>
  <c r="BQ36" i="4"/>
  <c r="BQ16" i="4"/>
  <c r="X47" i="2"/>
  <c r="AY29" i="2"/>
  <c r="X45" i="2"/>
  <c r="W48" i="2"/>
  <c r="AU20" i="4"/>
  <c r="AD37" i="4"/>
  <c r="AR37" i="4"/>
  <c r="X46" i="2"/>
  <c r="AU33" i="3"/>
  <c r="AU32" i="4"/>
  <c r="AF37" i="4"/>
  <c r="AF37" i="3"/>
  <c r="AU17" i="4"/>
  <c r="CE17" i="4" s="1"/>
  <c r="AU34" i="4"/>
  <c r="AO23" i="4"/>
  <c r="AQ23" i="4" s="1"/>
  <c r="AT23" i="4" s="1"/>
  <c r="AP23" i="4"/>
  <c r="CB23" i="4" s="1"/>
  <c r="AU18" i="4"/>
  <c r="CE18" i="4" s="1"/>
  <c r="AO22" i="4"/>
  <c r="AQ22" i="4" s="1"/>
  <c r="AT22" i="4" s="1"/>
  <c r="AP22" i="4"/>
  <c r="CB22" i="4" s="1"/>
  <c r="AO31" i="4"/>
  <c r="AQ31" i="4" s="1"/>
  <c r="AT31" i="4" s="1"/>
  <c r="AP31" i="4"/>
  <c r="CB31" i="4" s="1"/>
  <c r="AU19" i="4"/>
  <c r="AO30" i="4"/>
  <c r="AQ30" i="4" s="1"/>
  <c r="AT30" i="4" s="1"/>
  <c r="AP30" i="4"/>
  <c r="CB30" i="4" s="1"/>
  <c r="AO24" i="4"/>
  <c r="AQ24" i="4" s="1"/>
  <c r="AT24" i="4" s="1"/>
  <c r="AP24" i="4"/>
  <c r="AS15" i="4"/>
  <c r="AU15" i="4"/>
  <c r="AU34" i="3"/>
  <c r="AU32" i="3"/>
  <c r="AU15" i="3"/>
  <c r="AS15" i="3"/>
  <c r="AH37" i="3"/>
  <c r="AC24" i="3"/>
  <c r="AU24" i="3"/>
  <c r="CE24" i="3" s="1"/>
  <c r="AC22" i="3"/>
  <c r="AC23" i="4"/>
  <c r="AC19" i="3"/>
  <c r="AU19" i="3"/>
  <c r="CE19" i="3" s="1"/>
  <c r="AC23" i="3"/>
  <c r="AC25" i="3"/>
  <c r="AU25" i="3"/>
  <c r="CE25" i="3" s="1"/>
  <c r="AW25" i="3"/>
  <c r="CF25" i="3" s="1"/>
  <c r="AC16" i="4"/>
  <c r="AC20" i="3"/>
  <c r="AU20" i="3"/>
  <c r="CE20" i="3" s="1"/>
  <c r="AW20" i="3"/>
  <c r="CF20" i="3" s="1"/>
  <c r="AU25" i="4"/>
  <c r="CE25" i="4" s="1"/>
  <c r="AC17" i="3"/>
  <c r="AU17" i="3"/>
  <c r="CE17" i="3" s="1"/>
  <c r="AC22" i="4"/>
  <c r="AC18" i="3"/>
  <c r="AU18" i="3"/>
  <c r="CE18" i="3" s="1"/>
  <c r="AB37" i="4"/>
  <c r="AB37" i="3"/>
  <c r="AS14" i="3"/>
  <c r="CD14" i="3" s="1"/>
  <c r="AU14" i="3"/>
  <c r="CE14" i="3" s="1"/>
  <c r="AC36" i="4"/>
  <c r="AC30" i="4"/>
  <c r="AC28" i="4"/>
  <c r="AU28" i="4"/>
  <c r="CE28" i="4" s="1"/>
  <c r="AW26" i="4"/>
  <c r="CF26" i="4" s="1"/>
  <c r="AC31" i="4"/>
  <c r="AC27" i="4"/>
  <c r="AU27" i="4"/>
  <c r="CE27" i="4" s="1"/>
  <c r="AC26" i="3"/>
  <c r="AU26" i="3"/>
  <c r="CE26" i="3" s="1"/>
  <c r="AC35" i="3"/>
  <c r="AU35" i="3"/>
  <c r="CE35" i="3" s="1"/>
  <c r="AC27" i="3"/>
  <c r="AU27" i="3"/>
  <c r="CE27" i="3" s="1"/>
  <c r="AC31" i="3"/>
  <c r="AC30" i="3"/>
  <c r="AC36" i="3"/>
  <c r="AU28" i="3"/>
  <c r="CE28" i="3" s="1"/>
  <c r="AC25" i="4"/>
  <c r="AC35" i="4"/>
  <c r="AC26" i="4"/>
  <c r="AO24" i="3"/>
  <c r="AQ24" i="3" s="1"/>
  <c r="AT24" i="3" s="1"/>
  <c r="AO23" i="3"/>
  <c r="AQ23" i="3" s="1"/>
  <c r="AT23" i="3" s="1"/>
  <c r="AO22" i="3"/>
  <c r="AQ22" i="3" s="1"/>
  <c r="AT22" i="3" s="1"/>
  <c r="AO31" i="3"/>
  <c r="AQ31" i="3" s="1"/>
  <c r="AT31" i="3" s="1"/>
  <c r="AO30" i="3"/>
  <c r="AQ30" i="3" s="1"/>
  <c r="AT30" i="3" s="1"/>
  <c r="AW17" i="3" l="1"/>
  <c r="AS34" i="4"/>
  <c r="AW34" i="4" s="1"/>
  <c r="AY34" i="4" s="1"/>
  <c r="AW28" i="4"/>
  <c r="CF28" i="4" s="1"/>
  <c r="BR34" i="4"/>
  <c r="BR26" i="4"/>
  <c r="AU26" i="4"/>
  <c r="CE26" i="4" s="1"/>
  <c r="AU14" i="4"/>
  <c r="CE14" i="4" s="1"/>
  <c r="AW27" i="4"/>
  <c r="CF27" i="4" s="1"/>
  <c r="AU23" i="3"/>
  <c r="CE23" i="3" s="1"/>
  <c r="AS14" i="4"/>
  <c r="CD14" i="4" s="1"/>
  <c r="AU33" i="4"/>
  <c r="CE33" i="4" s="1"/>
  <c r="AS33" i="4"/>
  <c r="AW33" i="4" s="1"/>
  <c r="BR33" i="4"/>
  <c r="CT16" i="2"/>
  <c r="AX29" i="4"/>
  <c r="CT35" i="2"/>
  <c r="CR36" i="2"/>
  <c r="CR27" i="2"/>
  <c r="CR26" i="2"/>
  <c r="CT31" i="2"/>
  <c r="CR30" i="2"/>
  <c r="CT28" i="2"/>
  <c r="CR31" i="2"/>
  <c r="CR35" i="2"/>
  <c r="CT30" i="2"/>
  <c r="CT26" i="2"/>
  <c r="CT27" i="2"/>
  <c r="CT36" i="2"/>
  <c r="CR17" i="2"/>
  <c r="AW28" i="3"/>
  <c r="CF28" i="3" s="1"/>
  <c r="BQ37" i="4"/>
  <c r="CS37" i="2"/>
  <c r="BL37" i="4"/>
  <c r="CR18" i="2"/>
  <c r="CR20" i="2"/>
  <c r="CR25" i="2"/>
  <c r="CR19" i="2"/>
  <c r="CR24" i="2"/>
  <c r="CT25" i="2"/>
  <c r="CT22" i="2"/>
  <c r="CT23" i="2"/>
  <c r="CR23" i="2"/>
  <c r="CR22" i="2"/>
  <c r="AY21" i="2"/>
  <c r="BM37" i="4"/>
  <c r="AW15" i="3"/>
  <c r="CD15" i="3"/>
  <c r="AX21" i="3"/>
  <c r="AZ21" i="3" s="1"/>
  <c r="CF21" i="3"/>
  <c r="AX17" i="3"/>
  <c r="CF17" i="3"/>
  <c r="AW19" i="3"/>
  <c r="CF19" i="3" s="1"/>
  <c r="AU22" i="3"/>
  <c r="CE22" i="3" s="1"/>
  <c r="CE34" i="3"/>
  <c r="AU31" i="3"/>
  <c r="CE31" i="3" s="1"/>
  <c r="CB31" i="3"/>
  <c r="AW18" i="3"/>
  <c r="CF18" i="3" s="1"/>
  <c r="CD18" i="3"/>
  <c r="AY21" i="4"/>
  <c r="AX21" i="4"/>
  <c r="AW26" i="3"/>
  <c r="CF26" i="3" s="1"/>
  <c r="CD26" i="3"/>
  <c r="AW27" i="3"/>
  <c r="CF27" i="3" s="1"/>
  <c r="AV15" i="3"/>
  <c r="CE15" i="3"/>
  <c r="BQ37" i="3"/>
  <c r="AW34" i="3"/>
  <c r="CF34" i="3" s="1"/>
  <c r="CD34" i="3"/>
  <c r="AW32" i="3"/>
  <c r="AY32" i="3" s="1"/>
  <c r="CD32" i="3"/>
  <c r="CE32" i="3"/>
  <c r="CE33" i="3"/>
  <c r="AW33" i="3"/>
  <c r="CF33" i="3" s="1"/>
  <c r="CD33" i="3"/>
  <c r="AX29" i="3"/>
  <c r="AZ29" i="3" s="1"/>
  <c r="CF29" i="3"/>
  <c r="AW32" i="4"/>
  <c r="CD32" i="4"/>
  <c r="AW20" i="4"/>
  <c r="CD20" i="4"/>
  <c r="AV15" i="4"/>
  <c r="CE15" i="4"/>
  <c r="AY20" i="4"/>
  <c r="CE20" i="4"/>
  <c r="AW18" i="4"/>
  <c r="AY18" i="4" s="1"/>
  <c r="CD18" i="4"/>
  <c r="AW15" i="4"/>
  <c r="CD15" i="4"/>
  <c r="AW19" i="4"/>
  <c r="CD19" i="4"/>
  <c r="BP37" i="4"/>
  <c r="AW17" i="4"/>
  <c r="AY17" i="4" s="1"/>
  <c r="CD17" i="4"/>
  <c r="AY29" i="4"/>
  <c r="AZ29" i="4" s="1"/>
  <c r="AW25" i="4"/>
  <c r="CF25" i="4" s="1"/>
  <c r="CD25" i="4"/>
  <c r="BN37" i="4"/>
  <c r="AV34" i="4"/>
  <c r="CE34" i="4"/>
  <c r="CE32" i="4"/>
  <c r="CD34" i="4"/>
  <c r="CD33" i="4"/>
  <c r="AV32" i="4"/>
  <c r="BR24" i="4"/>
  <c r="CB24" i="4"/>
  <c r="AY19" i="4"/>
  <c r="CE19" i="4"/>
  <c r="BO37" i="4"/>
  <c r="AV20" i="4"/>
  <c r="AS35" i="4"/>
  <c r="BR35" i="4"/>
  <c r="AU35" i="4"/>
  <c r="CE35" i="4" s="1"/>
  <c r="AS30" i="4"/>
  <c r="BR30" i="4"/>
  <c r="AS23" i="4"/>
  <c r="BR23" i="4"/>
  <c r="AL37" i="4"/>
  <c r="AS31" i="4"/>
  <c r="BR31" i="4"/>
  <c r="AS22" i="4"/>
  <c r="BR22" i="4"/>
  <c r="BQ16" i="3"/>
  <c r="AS30" i="3"/>
  <c r="BR30" i="3"/>
  <c r="AL36" i="3"/>
  <c r="BP36" i="3" s="1"/>
  <c r="BO36" i="3"/>
  <c r="BO16" i="3"/>
  <c r="AS23" i="3"/>
  <c r="BR23" i="3"/>
  <c r="AS31" i="3"/>
  <c r="BR31" i="3"/>
  <c r="BQ36" i="3"/>
  <c r="AU30" i="3"/>
  <c r="CE30" i="3" s="1"/>
  <c r="AS35" i="3"/>
  <c r="BR35" i="3"/>
  <c r="AS24" i="3"/>
  <c r="BR24" i="3"/>
  <c r="AS22" i="3"/>
  <c r="BR22" i="3"/>
  <c r="AU22" i="4"/>
  <c r="CE22" i="4" s="1"/>
  <c r="AV17" i="4"/>
  <c r="X48" i="2"/>
  <c r="AV34" i="3"/>
  <c r="AH37" i="4"/>
  <c r="AJ37" i="4"/>
  <c r="AN37" i="4"/>
  <c r="AW14" i="3"/>
  <c r="AV33" i="3"/>
  <c r="AN37" i="3"/>
  <c r="AO36" i="4"/>
  <c r="AX20" i="3"/>
  <c r="AO16" i="3"/>
  <c r="AO16" i="4"/>
  <c r="AV18" i="4"/>
  <c r="AV32" i="3"/>
  <c r="AV19" i="4"/>
  <c r="AU31" i="4"/>
  <c r="AU23" i="4"/>
  <c r="AV14" i="4"/>
  <c r="AU30" i="4"/>
  <c r="AS24" i="4"/>
  <c r="AU24" i="4"/>
  <c r="CE24" i="4" s="1"/>
  <c r="AP16" i="4"/>
  <c r="AI16" i="4"/>
  <c r="AP36" i="4"/>
  <c r="AI36" i="4"/>
  <c r="AP16" i="3"/>
  <c r="AI16" i="3"/>
  <c r="AP36" i="3"/>
  <c r="AI36" i="3"/>
  <c r="AV18" i="3"/>
  <c r="AV20" i="3"/>
  <c r="AY20" i="3"/>
  <c r="AV24" i="3"/>
  <c r="AV25" i="3"/>
  <c r="AY25" i="3"/>
  <c r="AV25" i="4"/>
  <c r="AV19" i="3"/>
  <c r="AY17" i="3"/>
  <c r="AZ17" i="3" s="1"/>
  <c r="AV17" i="3"/>
  <c r="AX25" i="3"/>
  <c r="AV14" i="3"/>
  <c r="AV28" i="4"/>
  <c r="AY28" i="4"/>
  <c r="AX26" i="4"/>
  <c r="AY27" i="4"/>
  <c r="AV27" i="4"/>
  <c r="AX28" i="4"/>
  <c r="AV27" i="3"/>
  <c r="AV28" i="3"/>
  <c r="AV35" i="3"/>
  <c r="AV26" i="3"/>
  <c r="H23" i="15"/>
  <c r="AJ35" i="2"/>
  <c r="BN35" i="2" s="1"/>
  <c r="AJ34" i="2"/>
  <c r="BN34" i="2" s="1"/>
  <c r="AJ33" i="2"/>
  <c r="BN33" i="2" s="1"/>
  <c r="AJ30" i="2"/>
  <c r="BN30" i="2" s="1"/>
  <c r="AJ26" i="2"/>
  <c r="BN26" i="2" s="1"/>
  <c r="AJ23" i="2"/>
  <c r="BN23" i="2" s="1"/>
  <c r="AH35" i="2"/>
  <c r="BM35" i="2" s="1"/>
  <c r="AH32" i="2"/>
  <c r="BM32" i="2" s="1"/>
  <c r="AH31" i="2"/>
  <c r="BM31" i="2" s="1"/>
  <c r="AH27" i="2"/>
  <c r="BM27" i="2" s="1"/>
  <c r="AH26" i="2"/>
  <c r="BM26" i="2" s="1"/>
  <c r="AH34" i="2"/>
  <c r="BM34" i="2" s="1"/>
  <c r="AH28" i="2"/>
  <c r="BM28" i="2" s="1"/>
  <c r="AH30" i="2"/>
  <c r="BM30" i="2" s="1"/>
  <c r="AH33" i="2"/>
  <c r="BM33" i="2" s="1"/>
  <c r="AH17" i="2"/>
  <c r="AH18" i="2"/>
  <c r="BM18" i="2" s="1"/>
  <c r="AH19" i="2"/>
  <c r="BM19" i="2" s="1"/>
  <c r="AH20" i="2"/>
  <c r="BM20" i="2" s="1"/>
  <c r="AH22" i="2"/>
  <c r="BM22" i="2" s="1"/>
  <c r="AH23" i="2"/>
  <c r="BM23" i="2" s="1"/>
  <c r="AH24" i="2"/>
  <c r="BM24" i="2" s="1"/>
  <c r="AH25" i="2"/>
  <c r="BM25" i="2" s="1"/>
  <c r="AH15" i="2"/>
  <c r="BM15" i="2" s="1"/>
  <c r="AH14" i="2"/>
  <c r="BM14" i="2" s="1"/>
  <c r="AV26" i="4" l="1"/>
  <c r="BO37" i="3"/>
  <c r="AV23" i="3"/>
  <c r="AW14" i="4"/>
  <c r="AY14" i="4" s="1"/>
  <c r="AY26" i="4"/>
  <c r="AX27" i="4"/>
  <c r="AZ27" i="4" s="1"/>
  <c r="AV33" i="4"/>
  <c r="AY33" i="4"/>
  <c r="AO36" i="3"/>
  <c r="AQ36" i="3" s="1"/>
  <c r="AT36" i="3" s="1"/>
  <c r="AY26" i="3"/>
  <c r="AX28" i="3"/>
  <c r="AV30" i="3"/>
  <c r="AV31" i="3"/>
  <c r="AX26" i="3"/>
  <c r="AX33" i="3"/>
  <c r="AY28" i="3"/>
  <c r="AZ28" i="3" s="1"/>
  <c r="AY27" i="3"/>
  <c r="AY33" i="3"/>
  <c r="AX18" i="3"/>
  <c r="AV22" i="3"/>
  <c r="AY25" i="4"/>
  <c r="AY18" i="3"/>
  <c r="AX19" i="3"/>
  <c r="AX25" i="4"/>
  <c r="AY19" i="3"/>
  <c r="AW35" i="3"/>
  <c r="CD35" i="3"/>
  <c r="AX34" i="3"/>
  <c r="AZ21" i="4"/>
  <c r="AW22" i="3"/>
  <c r="CD22" i="3"/>
  <c r="AW30" i="3"/>
  <c r="CD30" i="3"/>
  <c r="AY34" i="3"/>
  <c r="AW31" i="3"/>
  <c r="CD31" i="3"/>
  <c r="AX27" i="3"/>
  <c r="AX14" i="3"/>
  <c r="CF14" i="3"/>
  <c r="AW24" i="3"/>
  <c r="CD24" i="3"/>
  <c r="AW23" i="3"/>
  <c r="CD23" i="3"/>
  <c r="CF32" i="3"/>
  <c r="AX32" i="3"/>
  <c r="AZ32" i="3" s="1"/>
  <c r="AX15" i="3"/>
  <c r="CF15" i="3"/>
  <c r="AW30" i="4"/>
  <c r="AY30" i="4" s="1"/>
  <c r="CD30" i="4"/>
  <c r="AW35" i="4"/>
  <c r="CD35" i="4"/>
  <c r="AV31" i="4"/>
  <c r="CE31" i="4"/>
  <c r="CF33" i="4"/>
  <c r="AX33" i="4"/>
  <c r="AV35" i="4"/>
  <c r="AW31" i="4"/>
  <c r="CD31" i="4"/>
  <c r="AW23" i="4"/>
  <c r="AY23" i="4" s="1"/>
  <c r="CD23" i="4"/>
  <c r="AZ19" i="4"/>
  <c r="AX14" i="4"/>
  <c r="AZ14" i="4" s="1"/>
  <c r="AX15" i="4"/>
  <c r="CF15" i="4"/>
  <c r="CF20" i="4"/>
  <c r="AX20" i="4"/>
  <c r="AZ20" i="4" s="1"/>
  <c r="CE30" i="4"/>
  <c r="AX19" i="4"/>
  <c r="CF19" i="4"/>
  <c r="AX18" i="4"/>
  <c r="AZ18" i="4" s="1"/>
  <c r="CF18" i="4"/>
  <c r="CF32" i="4"/>
  <c r="AX32" i="4"/>
  <c r="AY32" i="4"/>
  <c r="CF17" i="4"/>
  <c r="AX17" i="4"/>
  <c r="AZ17" i="4" s="1"/>
  <c r="AY35" i="4"/>
  <c r="AW24" i="4"/>
  <c r="CD24" i="4"/>
  <c r="CE23" i="4"/>
  <c r="AW22" i="4"/>
  <c r="AY22" i="4" s="1"/>
  <c r="CD22" i="4"/>
  <c r="CF34" i="4"/>
  <c r="AX34" i="4"/>
  <c r="AZ34" i="4" s="1"/>
  <c r="BR36" i="4"/>
  <c r="CB36" i="4"/>
  <c r="BR16" i="4"/>
  <c r="CB16" i="4"/>
  <c r="BR36" i="3"/>
  <c r="CB36" i="3"/>
  <c r="BR16" i="3"/>
  <c r="BR37" i="3" s="1"/>
  <c r="CB16" i="3"/>
  <c r="AJ37" i="3"/>
  <c r="BP16" i="3"/>
  <c r="BP37" i="3" s="1"/>
  <c r="AL37" i="3"/>
  <c r="BM17" i="2"/>
  <c r="AV22" i="4"/>
  <c r="AY14" i="3"/>
  <c r="AQ36" i="4"/>
  <c r="AT36" i="4" s="1"/>
  <c r="AP37" i="4"/>
  <c r="AP37" i="3"/>
  <c r="AQ16" i="3"/>
  <c r="AT16" i="3" s="1"/>
  <c r="AQ16" i="4"/>
  <c r="AT16" i="4" s="1"/>
  <c r="AV23" i="4"/>
  <c r="AV30" i="4"/>
  <c r="AV24" i="4"/>
  <c r="AS16" i="4"/>
  <c r="CD16" i="4" s="1"/>
  <c r="AU16" i="4"/>
  <c r="CE16" i="4" s="1"/>
  <c r="AS36" i="4"/>
  <c r="AU36" i="4"/>
  <c r="CE36" i="4" s="1"/>
  <c r="AS16" i="3"/>
  <c r="CD16" i="3" s="1"/>
  <c r="AU16" i="3"/>
  <c r="CE16" i="3" s="1"/>
  <c r="AS36" i="3"/>
  <c r="AU36" i="3"/>
  <c r="CE36" i="3" s="1"/>
  <c r="AZ25" i="3"/>
  <c r="AZ20" i="3"/>
  <c r="AZ26" i="4"/>
  <c r="AZ28" i="4"/>
  <c r="AI23" i="2"/>
  <c r="AI18" i="2"/>
  <c r="AI30" i="2"/>
  <c r="AI27" i="2"/>
  <c r="AI15" i="2"/>
  <c r="AI22" i="2"/>
  <c r="AI17" i="2"/>
  <c r="AI28" i="2"/>
  <c r="AI31" i="2"/>
  <c r="AI25" i="2"/>
  <c r="AI20" i="2"/>
  <c r="AI33" i="2"/>
  <c r="AI34" i="2"/>
  <c r="AI32" i="2"/>
  <c r="AI14" i="2"/>
  <c r="AI24" i="2"/>
  <c r="AI19" i="2"/>
  <c r="AI26" i="2"/>
  <c r="AI35" i="2"/>
  <c r="AJ31" i="2"/>
  <c r="BN31" i="2" s="1"/>
  <c r="AJ27" i="2"/>
  <c r="BN27" i="2" s="1"/>
  <c r="AJ24" i="2"/>
  <c r="BN24" i="2" s="1"/>
  <c r="AJ19" i="2"/>
  <c r="BN19" i="2" s="1"/>
  <c r="AL32" i="2"/>
  <c r="BO32" i="2" s="1"/>
  <c r="AL31" i="2"/>
  <c r="BO31" i="2" s="1"/>
  <c r="AL30" i="2"/>
  <c r="BO30" i="2" s="1"/>
  <c r="AL25" i="2"/>
  <c r="BO25" i="2" s="1"/>
  <c r="AL24" i="2"/>
  <c r="BO24" i="2" s="1"/>
  <c r="AL22" i="2"/>
  <c r="BO22" i="2" s="1"/>
  <c r="AZ14" i="3" l="1"/>
  <c r="CF14" i="4"/>
  <c r="AZ18" i="3"/>
  <c r="AZ33" i="4"/>
  <c r="AZ26" i="3"/>
  <c r="AZ27" i="3"/>
  <c r="AZ33" i="3"/>
  <c r="CE37" i="3"/>
  <c r="AZ34" i="3"/>
  <c r="AZ25" i="4"/>
  <c r="AZ19" i="3"/>
  <c r="CE37" i="4"/>
  <c r="AY35" i="3"/>
  <c r="CF35" i="3"/>
  <c r="AX35" i="3"/>
  <c r="AY31" i="3"/>
  <c r="CF31" i="3"/>
  <c r="AX31" i="3"/>
  <c r="CF30" i="3"/>
  <c r="AX30" i="3"/>
  <c r="AY30" i="3"/>
  <c r="CF23" i="3"/>
  <c r="AX23" i="3"/>
  <c r="AY23" i="3"/>
  <c r="AZ32" i="4"/>
  <c r="CF24" i="3"/>
  <c r="AX24" i="3"/>
  <c r="AY24" i="3"/>
  <c r="AY22" i="3"/>
  <c r="CF22" i="3"/>
  <c r="AX22" i="3"/>
  <c r="CF22" i="4"/>
  <c r="AX22" i="4"/>
  <c r="AZ22" i="4" s="1"/>
  <c r="AX24" i="4"/>
  <c r="CF24" i="4"/>
  <c r="AX31" i="4"/>
  <c r="CF31" i="4"/>
  <c r="AY24" i="4"/>
  <c r="CF35" i="4"/>
  <c r="AX35" i="4"/>
  <c r="AZ35" i="4" s="1"/>
  <c r="CF30" i="4"/>
  <c r="AX30" i="4"/>
  <c r="AZ30" i="4" s="1"/>
  <c r="AY31" i="4"/>
  <c r="AX23" i="4"/>
  <c r="AZ23" i="4" s="1"/>
  <c r="CF23" i="4"/>
  <c r="BR37" i="4"/>
  <c r="AW36" i="4"/>
  <c r="CD36" i="4"/>
  <c r="AW36" i="3"/>
  <c r="CD36" i="3"/>
  <c r="AU37" i="4"/>
  <c r="AW16" i="4"/>
  <c r="AS37" i="4"/>
  <c r="AW16" i="3"/>
  <c r="AS37" i="3"/>
  <c r="AV36" i="4"/>
  <c r="AV16" i="4"/>
  <c r="AV16" i="3"/>
  <c r="AU37" i="3"/>
  <c r="AV36" i="3"/>
  <c r="AY36" i="3"/>
  <c r="AN17" i="2"/>
  <c r="BP17" i="2" s="1"/>
  <c r="AN18" i="2"/>
  <c r="BP18" i="2" s="1"/>
  <c r="AN19" i="2"/>
  <c r="BP19" i="2" s="1"/>
  <c r="AN20" i="2"/>
  <c r="BP20" i="2" s="1"/>
  <c r="AN22" i="2"/>
  <c r="AN23" i="2"/>
  <c r="AN24" i="2"/>
  <c r="AN25" i="2"/>
  <c r="AN26" i="2"/>
  <c r="BP26" i="2" s="1"/>
  <c r="AN27" i="2"/>
  <c r="BP27" i="2" s="1"/>
  <c r="AN28" i="2"/>
  <c r="BP28" i="2" s="1"/>
  <c r="AN30" i="2"/>
  <c r="AN31" i="2"/>
  <c r="AN32" i="2"/>
  <c r="AN33" i="2"/>
  <c r="BP33" i="2" s="1"/>
  <c r="AN34" i="2"/>
  <c r="BP34" i="2" s="1"/>
  <c r="AN35" i="2"/>
  <c r="BP35" i="2" s="1"/>
  <c r="R32" i="2"/>
  <c r="R31" i="2"/>
  <c r="R30" i="2"/>
  <c r="R28" i="2"/>
  <c r="R27" i="2"/>
  <c r="R26" i="2"/>
  <c r="R25" i="2"/>
  <c r="R24" i="2"/>
  <c r="R23" i="2"/>
  <c r="R22" i="2"/>
  <c r="R20" i="2"/>
  <c r="R19" i="2"/>
  <c r="R18" i="2"/>
  <c r="R17" i="2"/>
  <c r="C16" i="2"/>
  <c r="C14" i="2"/>
  <c r="G15" i="2"/>
  <c r="G14" i="2"/>
  <c r="G26" i="2"/>
  <c r="G17" i="2"/>
  <c r="G16" i="2"/>
  <c r="AZ30" i="3" l="1"/>
  <c r="AZ31" i="4"/>
  <c r="AY63" i="3"/>
  <c r="AM60" i="1"/>
  <c r="AM59" i="1"/>
  <c r="AZ24" i="4"/>
  <c r="AZ24" i="3"/>
  <c r="AZ22" i="3"/>
  <c r="AZ23" i="3"/>
  <c r="AZ31" i="3"/>
  <c r="AZ35" i="3"/>
  <c r="AX36" i="4"/>
  <c r="CF36" i="4"/>
  <c r="AY36" i="4"/>
  <c r="AZ36" i="4" s="1"/>
  <c r="AX16" i="4"/>
  <c r="CF16" i="4"/>
  <c r="AX36" i="3"/>
  <c r="CF36" i="3"/>
  <c r="AW37" i="3"/>
  <c r="CF16" i="3"/>
  <c r="AO32" i="2"/>
  <c r="AQ32" i="2" s="1"/>
  <c r="AT32" i="2" s="1"/>
  <c r="BP32" i="2"/>
  <c r="AO23" i="2"/>
  <c r="AQ23" i="2" s="1"/>
  <c r="AT23" i="2" s="1"/>
  <c r="BP23" i="2"/>
  <c r="AO22" i="2"/>
  <c r="AQ22" i="2" s="1"/>
  <c r="AT22" i="2" s="1"/>
  <c r="BP22" i="2"/>
  <c r="AC29" i="2"/>
  <c r="CP29" i="2" s="1"/>
  <c r="AC21" i="2"/>
  <c r="CP21" i="2" s="1"/>
  <c r="AO30" i="2"/>
  <c r="AQ30" i="2" s="1"/>
  <c r="AT30" i="2" s="1"/>
  <c r="BP30" i="2"/>
  <c r="AO25" i="2"/>
  <c r="AQ25" i="2" s="1"/>
  <c r="AT25" i="2" s="1"/>
  <c r="BP25" i="2"/>
  <c r="AO24" i="2"/>
  <c r="AQ24" i="2" s="1"/>
  <c r="AT24" i="2" s="1"/>
  <c r="BP24" i="2"/>
  <c r="AO31" i="2"/>
  <c r="AQ31" i="2" s="1"/>
  <c r="AT31" i="2" s="1"/>
  <c r="BP31" i="2"/>
  <c r="AY16" i="4"/>
  <c r="AZ16" i="4" s="1"/>
  <c r="AC20" i="2"/>
  <c r="CP20" i="2" s="1"/>
  <c r="AY16" i="3"/>
  <c r="AZ16" i="3" s="1"/>
  <c r="AW37" i="4"/>
  <c r="C7" i="1"/>
  <c r="O71" i="1" s="1"/>
  <c r="Q85" i="1" s="1"/>
  <c r="AX16" i="3"/>
  <c r="C6" i="1"/>
  <c r="O70" i="1" s="1"/>
  <c r="Q83" i="1" s="1"/>
  <c r="AU58" i="2"/>
  <c r="AX70" i="2" s="1"/>
  <c r="AU57" i="2"/>
  <c r="AX68" i="2" s="1"/>
  <c r="AB9" i="2"/>
  <c r="AC14" i="2"/>
  <c r="AZ36" i="3"/>
  <c r="AV37" i="3"/>
  <c r="AV37" i="4"/>
  <c r="AP27" i="2"/>
  <c r="AO27" i="2"/>
  <c r="AQ27" i="2" s="1"/>
  <c r="AT27" i="2" s="1"/>
  <c r="AP18" i="2"/>
  <c r="CB18" i="2" s="1"/>
  <c r="AO18" i="2"/>
  <c r="AQ18" i="2" s="1"/>
  <c r="AT18" i="2" s="1"/>
  <c r="AP35" i="2"/>
  <c r="AO35" i="2"/>
  <c r="AQ35" i="2" s="1"/>
  <c r="AT35" i="2" s="1"/>
  <c r="AP26" i="2"/>
  <c r="AO26" i="2"/>
  <c r="AQ26" i="2" s="1"/>
  <c r="AT26" i="2" s="1"/>
  <c r="AP17" i="2"/>
  <c r="CB17" i="2" s="1"/>
  <c r="AO17" i="2"/>
  <c r="AQ17" i="2" s="1"/>
  <c r="AT17" i="2" s="1"/>
  <c r="AP34" i="2"/>
  <c r="AO34" i="2"/>
  <c r="AQ34" i="2" s="1"/>
  <c r="AT34" i="2" s="1"/>
  <c r="AP20" i="2"/>
  <c r="AO20" i="2"/>
  <c r="AQ20" i="2" s="1"/>
  <c r="AT20" i="2" s="1"/>
  <c r="AP33" i="2"/>
  <c r="AO33" i="2"/>
  <c r="AQ33" i="2" s="1"/>
  <c r="AT33" i="2" s="1"/>
  <c r="AP28" i="2"/>
  <c r="AO28" i="2"/>
  <c r="AQ28" i="2" s="1"/>
  <c r="AT28" i="2" s="1"/>
  <c r="AP19" i="2"/>
  <c r="CB19" i="2" s="1"/>
  <c r="AO19" i="2"/>
  <c r="AQ19" i="2" s="1"/>
  <c r="AT19" i="2" s="1"/>
  <c r="AP24" i="2"/>
  <c r="AP32" i="2"/>
  <c r="AP23" i="2"/>
  <c r="AP31" i="2"/>
  <c r="AP22" i="2"/>
  <c r="AP30" i="2"/>
  <c r="AP25" i="2"/>
  <c r="AB34" i="2"/>
  <c r="AB30" i="2"/>
  <c r="CO30" i="2" s="1"/>
  <c r="AB33" i="2"/>
  <c r="AB32" i="2"/>
  <c r="CO32" i="2" s="1"/>
  <c r="AB27" i="2"/>
  <c r="AB35" i="2"/>
  <c r="AB31" i="2"/>
  <c r="CO31" i="2" s="1"/>
  <c r="AB26" i="2"/>
  <c r="AB24" i="2"/>
  <c r="CO24" i="2" s="1"/>
  <c r="AB19" i="2"/>
  <c r="AB23" i="2"/>
  <c r="CO23" i="2" s="1"/>
  <c r="AB18" i="2"/>
  <c r="AB22" i="2"/>
  <c r="CO22" i="2" s="1"/>
  <c r="AB17" i="2"/>
  <c r="AB25" i="2"/>
  <c r="CO25" i="2" s="1"/>
  <c r="AB16" i="2"/>
  <c r="AN14" i="2"/>
  <c r="BP14" i="2" s="1"/>
  <c r="AN15" i="2"/>
  <c r="BP15" i="2" s="1"/>
  <c r="CP14" i="2" l="1"/>
  <c r="CF37" i="3"/>
  <c r="CE38" i="3" s="1"/>
  <c r="CO16" i="2"/>
  <c r="CA16" i="2"/>
  <c r="CA26" i="2"/>
  <c r="CO26" i="2"/>
  <c r="CA34" i="2"/>
  <c r="CO34" i="2"/>
  <c r="CA27" i="2"/>
  <c r="CO27" i="2"/>
  <c r="CA35" i="2"/>
  <c r="CO35" i="2"/>
  <c r="CA33" i="2"/>
  <c r="CO33" i="2"/>
  <c r="AZ63" i="3"/>
  <c r="AU39" i="3"/>
  <c r="AU42" i="3" s="1"/>
  <c r="AN59" i="1"/>
  <c r="CO19" i="2"/>
  <c r="CA19" i="2"/>
  <c r="Q55" i="1"/>
  <c r="CO17" i="2"/>
  <c r="CA17" i="2"/>
  <c r="Q54" i="1"/>
  <c r="CO18" i="2"/>
  <c r="CA18" i="2"/>
  <c r="AU39" i="4"/>
  <c r="AU40" i="4" s="1"/>
  <c r="AN60" i="1"/>
  <c r="AG36" i="2"/>
  <c r="AL36" i="2"/>
  <c r="BO36" i="2" s="1"/>
  <c r="AO16" i="2"/>
  <c r="AK36" i="2"/>
  <c r="AM36" i="2"/>
  <c r="AK16" i="2"/>
  <c r="AF16" i="2"/>
  <c r="AF36" i="2"/>
  <c r="BL36" i="2" s="1"/>
  <c r="AO36" i="2"/>
  <c r="AM16" i="2"/>
  <c r="AG16" i="2"/>
  <c r="AE36" i="2"/>
  <c r="AE16" i="2"/>
  <c r="AD16" i="2"/>
  <c r="BK16" i="2" s="1"/>
  <c r="AD36" i="2"/>
  <c r="BK36" i="2" s="1"/>
  <c r="AH36" i="2"/>
  <c r="BM36" i="2" s="1"/>
  <c r="AH16" i="2"/>
  <c r="BM16" i="2" s="1"/>
  <c r="AI36" i="2"/>
  <c r="AI16" i="2"/>
  <c r="CF37" i="4"/>
  <c r="CE38" i="4" s="1"/>
  <c r="AX37" i="4"/>
  <c r="AW39" i="4" s="1"/>
  <c r="AW41" i="4" s="1"/>
  <c r="AY37" i="3"/>
  <c r="AX37" i="3"/>
  <c r="AW39" i="3" s="1"/>
  <c r="AW40" i="3" s="1"/>
  <c r="F6" i="1"/>
  <c r="H15" i="15"/>
  <c r="AX57" i="2"/>
  <c r="AY68" i="2" s="1"/>
  <c r="AZ68" i="2" s="1"/>
  <c r="H16" i="15"/>
  <c r="BQ19" i="2"/>
  <c r="BQ30" i="2"/>
  <c r="CB30" i="2"/>
  <c r="BQ32" i="2"/>
  <c r="CB32" i="2"/>
  <c r="BJ16" i="2"/>
  <c r="BJ24" i="2"/>
  <c r="CA24" i="2"/>
  <c r="BJ30" i="2"/>
  <c r="CA30" i="2"/>
  <c r="BQ22" i="2"/>
  <c r="CB22" i="2"/>
  <c r="BQ24" i="2"/>
  <c r="CB24" i="2"/>
  <c r="BQ28" i="2"/>
  <c r="CB28" i="2"/>
  <c r="BQ20" i="2"/>
  <c r="CB20" i="2"/>
  <c r="BQ17" i="2"/>
  <c r="BQ35" i="2"/>
  <c r="CB35" i="2"/>
  <c r="BQ27" i="2"/>
  <c r="CB27" i="2"/>
  <c r="BJ23" i="2"/>
  <c r="CA23" i="2"/>
  <c r="BJ31" i="2"/>
  <c r="CA31" i="2"/>
  <c r="BQ25" i="2"/>
  <c r="CB25" i="2"/>
  <c r="BQ23" i="2"/>
  <c r="CB23" i="2"/>
  <c r="BQ33" i="2"/>
  <c r="CB33" i="2"/>
  <c r="BQ34" i="2"/>
  <c r="CB34" i="2"/>
  <c r="BQ26" i="2"/>
  <c r="CB26" i="2"/>
  <c r="BQ18" i="2"/>
  <c r="BJ22" i="2"/>
  <c r="CA22" i="2"/>
  <c r="BJ25" i="2"/>
  <c r="CA25" i="2"/>
  <c r="BJ32" i="2"/>
  <c r="CA32" i="2"/>
  <c r="BQ31" i="2"/>
  <c r="CB31" i="2"/>
  <c r="BJ19" i="2"/>
  <c r="BJ33" i="2"/>
  <c r="AV29" i="2"/>
  <c r="AX29" i="2"/>
  <c r="BJ18" i="2"/>
  <c r="BJ17" i="2"/>
  <c r="BP16" i="2"/>
  <c r="BP36" i="2"/>
  <c r="BN16" i="2"/>
  <c r="BN36" i="2"/>
  <c r="BJ35" i="2"/>
  <c r="BJ27" i="2"/>
  <c r="BJ26" i="2"/>
  <c r="BJ34" i="2"/>
  <c r="AV21" i="2"/>
  <c r="AX21" i="2"/>
  <c r="AY37" i="4"/>
  <c r="AX58" i="2"/>
  <c r="AY70" i="2" s="1"/>
  <c r="AZ70" i="2" s="1"/>
  <c r="AC25" i="2"/>
  <c r="AC32" i="2"/>
  <c r="V45" i="2"/>
  <c r="AC23" i="2"/>
  <c r="AC31" i="2"/>
  <c r="AC22" i="2"/>
  <c r="V43" i="2"/>
  <c r="AC24" i="2"/>
  <c r="AC30" i="2"/>
  <c r="F7" i="1"/>
  <c r="V46" i="2"/>
  <c r="P43" i="1"/>
  <c r="O55" i="1" s="1"/>
  <c r="R30" i="1"/>
  <c r="W41" i="1" s="1"/>
  <c r="X41" i="1" s="1"/>
  <c r="P41" i="1"/>
  <c r="O54" i="1" s="1"/>
  <c r="R28" i="1"/>
  <c r="W38" i="1" s="1"/>
  <c r="AD10" i="2"/>
  <c r="AC15" i="2"/>
  <c r="AB37" i="2"/>
  <c r="AS31" i="2"/>
  <c r="AU31" i="2"/>
  <c r="CE31" i="2" s="1"/>
  <c r="AS30" i="2"/>
  <c r="AU30" i="2"/>
  <c r="CE30" i="2" s="1"/>
  <c r="AS32" i="2"/>
  <c r="AU32" i="2"/>
  <c r="CE32" i="2" s="1"/>
  <c r="AS22" i="2"/>
  <c r="AU22" i="2"/>
  <c r="CE22" i="2" s="1"/>
  <c r="AS24" i="2"/>
  <c r="AU24" i="2"/>
  <c r="CE24" i="2" s="1"/>
  <c r="AS28" i="2"/>
  <c r="CD28" i="2" s="1"/>
  <c r="AU28" i="2"/>
  <c r="CE28" i="2" s="1"/>
  <c r="AS34" i="2"/>
  <c r="CD34" i="2" s="1"/>
  <c r="AU34" i="2"/>
  <c r="CE34" i="2" s="1"/>
  <c r="AS26" i="2"/>
  <c r="CD26" i="2" s="1"/>
  <c r="AU26" i="2"/>
  <c r="CE26" i="2" s="1"/>
  <c r="AS18" i="2"/>
  <c r="CD18" i="2" s="1"/>
  <c r="AU18" i="2"/>
  <c r="CE18" i="2" s="1"/>
  <c r="AS25" i="2"/>
  <c r="CD25" i="2" s="1"/>
  <c r="AU25" i="2"/>
  <c r="CE25" i="2" s="1"/>
  <c r="AS23" i="2"/>
  <c r="CD23" i="2" s="1"/>
  <c r="AU23" i="2"/>
  <c r="CE23" i="2" s="1"/>
  <c r="AS19" i="2"/>
  <c r="CD19" i="2" s="1"/>
  <c r="AU19" i="2"/>
  <c r="CE19" i="2" s="1"/>
  <c r="AS33" i="2"/>
  <c r="CD33" i="2" s="1"/>
  <c r="AU33" i="2"/>
  <c r="CE33" i="2" s="1"/>
  <c r="AS20" i="2"/>
  <c r="CD20" i="2" s="1"/>
  <c r="AU20" i="2"/>
  <c r="CE20" i="2" s="1"/>
  <c r="AS17" i="2"/>
  <c r="CD17" i="2" s="1"/>
  <c r="AU17" i="2"/>
  <c r="CE17" i="2" s="1"/>
  <c r="AS35" i="2"/>
  <c r="CD35" i="2" s="1"/>
  <c r="AU35" i="2"/>
  <c r="CE35" i="2" s="1"/>
  <c r="AS27" i="2"/>
  <c r="CD27" i="2" s="1"/>
  <c r="AU27" i="2"/>
  <c r="CE27" i="2" s="1"/>
  <c r="AC19" i="2"/>
  <c r="AC35" i="2"/>
  <c r="AC16" i="2"/>
  <c r="AC27" i="2"/>
  <c r="AC33" i="2"/>
  <c r="AP14" i="2"/>
  <c r="CB14" i="2" s="1"/>
  <c r="AO14" i="2"/>
  <c r="AQ14" i="2" s="1"/>
  <c r="AC17" i="2"/>
  <c r="AC36" i="2"/>
  <c r="AC34" i="2"/>
  <c r="AP15" i="2"/>
  <c r="CB15" i="2" s="1"/>
  <c r="AO15" i="2"/>
  <c r="AQ15" i="2" s="1"/>
  <c r="AT15" i="2" s="1"/>
  <c r="AC18" i="2"/>
  <c r="AC26" i="2"/>
  <c r="AC28" i="2"/>
  <c r="AW19" i="2" l="1"/>
  <c r="CF19" i="2" s="1"/>
  <c r="AU42" i="4"/>
  <c r="CP15" i="2"/>
  <c r="CP16" i="2"/>
  <c r="CP35" i="2"/>
  <c r="CP30" i="2"/>
  <c r="CP31" i="2"/>
  <c r="CP27" i="2"/>
  <c r="CP36" i="2"/>
  <c r="CP33" i="2"/>
  <c r="CP28" i="2"/>
  <c r="CP32" i="2"/>
  <c r="CP26" i="2"/>
  <c r="CP34" i="2"/>
  <c r="AU41" i="4"/>
  <c r="I7" i="1"/>
  <c r="U71" i="1" s="1"/>
  <c r="AZ58" i="2"/>
  <c r="AY57" i="2"/>
  <c r="I6" i="1"/>
  <c r="U70" i="1" s="1"/>
  <c r="AU41" i="3"/>
  <c r="AU40" i="3"/>
  <c r="S30" i="1"/>
  <c r="W43" i="1" s="1"/>
  <c r="X43" i="1" s="1"/>
  <c r="R71" i="1"/>
  <c r="R85" i="1" s="1"/>
  <c r="CP25" i="2"/>
  <c r="CO37" i="2"/>
  <c r="CP18" i="2"/>
  <c r="S28" i="1"/>
  <c r="W40" i="1" s="1"/>
  <c r="X40" i="1" s="1"/>
  <c r="R70" i="1"/>
  <c r="R83" i="1" s="1"/>
  <c r="CP17" i="2"/>
  <c r="CP19" i="2"/>
  <c r="CP24" i="2"/>
  <c r="CP22" i="2"/>
  <c r="CP23" i="2"/>
  <c r="BA57" i="2"/>
  <c r="AD37" i="2"/>
  <c r="AZ37" i="3"/>
  <c r="AY39" i="3" s="1"/>
  <c r="AY42" i="3" s="1"/>
  <c r="BK37" i="2"/>
  <c r="BO16" i="2"/>
  <c r="BO37" i="2" s="1"/>
  <c r="BL16" i="2"/>
  <c r="BL37" i="2" s="1"/>
  <c r="BM37" i="2"/>
  <c r="BN37" i="2"/>
  <c r="AW40" i="4"/>
  <c r="AW42" i="4"/>
  <c r="AW42" i="3"/>
  <c r="AW41" i="3"/>
  <c r="BP37" i="2"/>
  <c r="AW24" i="2"/>
  <c r="CF24" i="2" s="1"/>
  <c r="CD24" i="2"/>
  <c r="AW32" i="2"/>
  <c r="CF32" i="2" s="1"/>
  <c r="CD32" i="2"/>
  <c r="AW31" i="2"/>
  <c r="CF31" i="2" s="1"/>
  <c r="CD31" i="2"/>
  <c r="BQ15" i="2"/>
  <c r="AW22" i="2"/>
  <c r="CF22" i="2" s="1"/>
  <c r="CD22" i="2"/>
  <c r="AW30" i="2"/>
  <c r="CF30" i="2" s="1"/>
  <c r="CD30" i="2"/>
  <c r="BQ14" i="2"/>
  <c r="AZ37" i="4"/>
  <c r="AY39" i="4" s="1"/>
  <c r="AY42" i="4" s="1"/>
  <c r="BA58" i="2"/>
  <c r="V48" i="2"/>
  <c r="Y48" i="2" s="1"/>
  <c r="Y47" i="2" s="1"/>
  <c r="G7" i="1"/>
  <c r="S71" i="1" s="1"/>
  <c r="H7" i="1"/>
  <c r="T71" i="1" s="1"/>
  <c r="AF37" i="2"/>
  <c r="AS14" i="2"/>
  <c r="CD14" i="2" s="1"/>
  <c r="AU14" i="2"/>
  <c r="CE14" i="2" s="1"/>
  <c r="AH37" i="2"/>
  <c r="AJ37" i="2"/>
  <c r="AN37" i="2"/>
  <c r="AV58" i="2"/>
  <c r="D7" i="1"/>
  <c r="P71" i="1" s="1"/>
  <c r="G6" i="1"/>
  <c r="S70" i="1" s="1"/>
  <c r="AW58" i="2"/>
  <c r="E7" i="1"/>
  <c r="Q71" i="1" s="1"/>
  <c r="X38" i="1"/>
  <c r="AP16" i="2"/>
  <c r="CB16" i="2" s="1"/>
  <c r="AP36" i="2"/>
  <c r="AY19" i="2"/>
  <c r="AV25" i="2"/>
  <c r="AV24" i="2"/>
  <c r="AV23" i="2"/>
  <c r="AV22" i="2"/>
  <c r="AV30" i="2"/>
  <c r="AV32" i="2"/>
  <c r="AV31" i="2"/>
  <c r="AY31" i="2"/>
  <c r="AW23" i="2"/>
  <c r="AW26" i="2"/>
  <c r="AW27" i="2"/>
  <c r="AW25" i="2"/>
  <c r="AW20" i="2"/>
  <c r="AW35" i="2"/>
  <c r="AV27" i="2"/>
  <c r="AW28" i="2"/>
  <c r="AW18" i="2"/>
  <c r="CF18" i="2" s="1"/>
  <c r="AW34" i="2"/>
  <c r="AW17" i="2"/>
  <c r="CF17" i="2" s="1"/>
  <c r="AW33" i="2"/>
  <c r="AV35" i="2"/>
  <c r="AV20" i="2"/>
  <c r="AV19" i="2"/>
  <c r="AV26" i="2"/>
  <c r="AS15" i="2"/>
  <c r="CD15" i="2" s="1"/>
  <c r="AU15" i="2"/>
  <c r="CE15" i="2" s="1"/>
  <c r="AV17" i="2"/>
  <c r="AV33" i="2"/>
  <c r="AV18" i="2"/>
  <c r="AV34" i="2"/>
  <c r="AV28" i="2"/>
  <c r="AX19" i="2"/>
  <c r="AT14" i="2"/>
  <c r="H7" i="15"/>
  <c r="AY32" i="2" l="1"/>
  <c r="AX32" i="2"/>
  <c r="E6" i="1"/>
  <c r="Q70" i="1" s="1"/>
  <c r="AY58" i="2"/>
  <c r="AW57" i="2"/>
  <c r="AY40" i="3"/>
  <c r="AZ57" i="2"/>
  <c r="D6" i="1"/>
  <c r="P70" i="1" s="1"/>
  <c r="H6" i="1"/>
  <c r="T70" i="1" s="1"/>
  <c r="AL37" i="2"/>
  <c r="AX24" i="2"/>
  <c r="W39" i="1"/>
  <c r="W42" i="1"/>
  <c r="AV57" i="2"/>
  <c r="AY22" i="2"/>
  <c r="AY41" i="3"/>
  <c r="AY24" i="2"/>
  <c r="AX22" i="2"/>
  <c r="AX31" i="2"/>
  <c r="AZ31" i="2" s="1"/>
  <c r="AY17" i="2"/>
  <c r="BQ36" i="2"/>
  <c r="CB36" i="2"/>
  <c r="AV15" i="2"/>
  <c r="AX23" i="2"/>
  <c r="CF23" i="2"/>
  <c r="AX30" i="2"/>
  <c r="AX27" i="2"/>
  <c r="CF27" i="2"/>
  <c r="AY34" i="2"/>
  <c r="CF34" i="2"/>
  <c r="AX35" i="2"/>
  <c r="CF35" i="2"/>
  <c r="AY26" i="2"/>
  <c r="CF26" i="2"/>
  <c r="AW15" i="2"/>
  <c r="CF15" i="2" s="1"/>
  <c r="AY18" i="2"/>
  <c r="AY20" i="2"/>
  <c r="CF20" i="2"/>
  <c r="BQ16" i="2"/>
  <c r="AY33" i="2"/>
  <c r="CF33" i="2"/>
  <c r="AY28" i="2"/>
  <c r="CF28" i="2"/>
  <c r="AX25" i="2"/>
  <c r="CF25" i="2"/>
  <c r="AY30" i="2"/>
  <c r="AY41" i="4"/>
  <c r="K7" i="1" s="1"/>
  <c r="W71" i="1" s="1"/>
  <c r="AY40" i="4"/>
  <c r="Y44" i="2"/>
  <c r="Y43" i="2"/>
  <c r="Y50" i="2" s="1"/>
  <c r="Y46" i="2"/>
  <c r="AB46" i="2" s="1"/>
  <c r="Y45" i="2"/>
  <c r="AQ36" i="2"/>
  <c r="AT36" i="2" s="1"/>
  <c r="AP37" i="2"/>
  <c r="AQ16" i="2"/>
  <c r="AT16" i="2" s="1"/>
  <c r="AX17" i="2"/>
  <c r="AX26" i="2"/>
  <c r="AX34" i="2"/>
  <c r="AX18" i="2"/>
  <c r="AU16" i="2"/>
  <c r="AS16" i="2"/>
  <c r="CD16" i="2" s="1"/>
  <c r="AS36" i="2"/>
  <c r="AU36" i="2"/>
  <c r="CE36" i="2" s="1"/>
  <c r="AX20" i="2"/>
  <c r="AZ19" i="2"/>
  <c r="AY25" i="2"/>
  <c r="AY23" i="2"/>
  <c r="AY35" i="2"/>
  <c r="AX33" i="2"/>
  <c r="AX28" i="2"/>
  <c r="AY27" i="2"/>
  <c r="AW14" i="2"/>
  <c r="CF14" i="2" s="1"/>
  <c r="AV14" i="2"/>
  <c r="AZ30" i="2" l="1"/>
  <c r="AZ32" i="2"/>
  <c r="AZ28" i="2"/>
  <c r="AZ24" i="2"/>
  <c r="AZ35" i="2"/>
  <c r="BB58" i="2"/>
  <c r="J6" i="1"/>
  <c r="V70" i="1" s="1"/>
  <c r="BB57" i="2"/>
  <c r="BC57" i="2"/>
  <c r="AZ25" i="2"/>
  <c r="AZ22" i="2"/>
  <c r="AZ17" i="2"/>
  <c r="AZ23" i="2"/>
  <c r="AZ18" i="2"/>
  <c r="BC58" i="2"/>
  <c r="K6" i="1"/>
  <c r="W70" i="1" s="1"/>
  <c r="CE16" i="2"/>
  <c r="CE37" i="2" s="1"/>
  <c r="AZ27" i="2"/>
  <c r="AZ33" i="2"/>
  <c r="AZ20" i="2"/>
  <c r="BQ37" i="2"/>
  <c r="AW36" i="2"/>
  <c r="CF36" i="2" s="1"/>
  <c r="CD36" i="2"/>
  <c r="AZ34" i="2"/>
  <c r="AZ26" i="2"/>
  <c r="AX15" i="2"/>
  <c r="AX14" i="2"/>
  <c r="J7" i="1"/>
  <c r="V71" i="1" s="1"/>
  <c r="AD45" i="2"/>
  <c r="AE45" i="2" s="1"/>
  <c r="AB45" i="2"/>
  <c r="Z44" i="2" s="1"/>
  <c r="AV36" i="2"/>
  <c r="AW16" i="2"/>
  <c r="CF16" i="2" s="1"/>
  <c r="AS37" i="2"/>
  <c r="Z43" i="2"/>
  <c r="AV16" i="2"/>
  <c r="AY14" i="2"/>
  <c r="AU37" i="2"/>
  <c r="AM58" i="1" l="1"/>
  <c r="AX36" i="2"/>
  <c r="AY36" i="2"/>
  <c r="AZ36" i="2" s="1"/>
  <c r="AZ14" i="2"/>
  <c r="AX16" i="2"/>
  <c r="CF37" i="2"/>
  <c r="Z47" i="2"/>
  <c r="AY16" i="2"/>
  <c r="AZ16" i="2" s="1"/>
  <c r="AV37" i="2"/>
  <c r="AW37" i="2"/>
  <c r="F5" i="1" s="1"/>
  <c r="C5" i="1"/>
  <c r="O69" i="1" s="1"/>
  <c r="Q81" i="1" s="1"/>
  <c r="AU56" i="2"/>
  <c r="AX66" i="2" s="1"/>
  <c r="S25" i="1" l="1"/>
  <c r="W37" i="1" s="1"/>
  <c r="X37" i="1" s="1"/>
  <c r="R69" i="1"/>
  <c r="R81" i="1" s="1"/>
  <c r="AU39" i="2"/>
  <c r="AU40" i="2" s="1"/>
  <c r="AN58" i="1"/>
  <c r="CE38" i="2"/>
  <c r="Q53" i="1"/>
  <c r="AX37" i="2"/>
  <c r="AW39" i="2" s="1"/>
  <c r="AY37" i="2"/>
  <c r="I5" i="1" s="1"/>
  <c r="U69" i="1" s="1"/>
  <c r="AX56" i="2"/>
  <c r="AY66" i="2" s="1"/>
  <c r="AZ66" i="2" s="1"/>
  <c r="P39" i="1"/>
  <c r="O53" i="1" s="1"/>
  <c r="R25" i="1"/>
  <c r="W35" i="1" s="1"/>
  <c r="AU42" i="2" l="1"/>
  <c r="W47" i="1"/>
  <c r="X47" i="1" s="1"/>
  <c r="AU41" i="2"/>
  <c r="AW56" i="2" s="1"/>
  <c r="W36" i="1"/>
  <c r="BA56" i="2"/>
  <c r="AZ37" i="2"/>
  <c r="AY39" i="2" s="1"/>
  <c r="X35" i="1"/>
  <c r="W45" i="1"/>
  <c r="X45" i="1" s="1"/>
  <c r="AV56" i="2"/>
  <c r="D5" i="1"/>
  <c r="P69" i="1" s="1"/>
  <c r="AW41" i="2"/>
  <c r="AW42" i="2"/>
  <c r="AW40" i="2"/>
  <c r="E5" i="1" l="1"/>
  <c r="Q69" i="1" s="1"/>
  <c r="W46" i="1"/>
  <c r="AZ56" i="2"/>
  <c r="H5" i="1"/>
  <c r="T69" i="1" s="1"/>
  <c r="AY56" i="2"/>
  <c r="G5" i="1"/>
  <c r="S69" i="1" s="1"/>
  <c r="AY42" i="2"/>
  <c r="AY41" i="2"/>
  <c r="AY40" i="2"/>
  <c r="BB56" i="2" l="1"/>
  <c r="J5" i="1"/>
  <c r="V69" i="1" s="1"/>
  <c r="BC56" i="2"/>
  <c r="K5" i="1"/>
  <c r="W69" i="1" s="1"/>
  <c r="AK27" i="5" l="1"/>
  <c r="AL27" i="5"/>
  <c r="AM30" i="5" l="1"/>
  <c r="P495" i="22"/>
  <c r="AM27" i="5"/>
  <c r="AQ27" i="5"/>
  <c r="AL28" i="5"/>
  <c r="P496" i="22" s="1"/>
  <c r="AO27" i="5"/>
  <c r="AO28" i="5" l="1"/>
  <c r="AP30" i="5"/>
  <c r="AP29" i="5"/>
  <c r="AM29" i="5"/>
  <c r="AM31" i="5" s="1"/>
  <c r="AQ33" i="5" s="1"/>
  <c r="AQ28" i="5"/>
  <c r="E20" i="22" s="1"/>
  <c r="E654" i="22" s="1"/>
  <c r="AR27" i="5"/>
  <c r="AR28" i="5" s="1"/>
  <c r="AS27" i="5"/>
  <c r="O6" i="8" l="1"/>
  <c r="F623" i="22" s="1"/>
  <c r="O57" i="1"/>
  <c r="O8" i="8"/>
  <c r="F625" i="22" s="1"/>
  <c r="C9" i="1"/>
  <c r="O73" i="1" s="1"/>
  <c r="Q86" i="1" s="1"/>
  <c r="O10" i="8"/>
  <c r="F627" i="22" s="1"/>
  <c r="AU60" i="2"/>
  <c r="AX71" i="2" s="1"/>
  <c r="AP31" i="5"/>
  <c r="AS33" i="5" s="1"/>
  <c r="AQ36" i="5"/>
  <c r="F20" i="22" s="1"/>
  <c r="D508" i="22"/>
  <c r="O16" i="8"/>
  <c r="E614" i="22"/>
  <c r="F46" i="22"/>
  <c r="G46" i="22" s="1"/>
  <c r="Q84" i="1"/>
  <c r="R26" i="1"/>
  <c r="AQ35" i="5"/>
  <c r="AQ34" i="5"/>
  <c r="AT27" i="5"/>
  <c r="AT28" i="5" s="1"/>
  <c r="AU27" i="5"/>
  <c r="AV27" i="5" s="1"/>
  <c r="AS28" i="5"/>
  <c r="AU28" i="5" s="1"/>
  <c r="P44" i="1" l="1"/>
  <c r="P8" i="8"/>
  <c r="G625" i="22" s="1"/>
  <c r="AX67" i="2"/>
  <c r="AX69" i="2"/>
  <c r="F614" i="22"/>
  <c r="H46" i="22"/>
  <c r="P42" i="1"/>
  <c r="P6" i="8"/>
  <c r="R29" i="1"/>
  <c r="Q82" i="1"/>
  <c r="O20" i="8"/>
  <c r="P20" i="8" s="1"/>
  <c r="P40" i="1"/>
  <c r="R31" i="1"/>
  <c r="P10" i="8"/>
  <c r="G627" i="22" s="1"/>
  <c r="O18" i="8"/>
  <c r="F638" i="22" s="1"/>
  <c r="E508" i="22"/>
  <c r="P16" i="8"/>
  <c r="F636" i="22"/>
  <c r="G20" i="22"/>
  <c r="G654" i="22" s="1"/>
  <c r="D9" i="1"/>
  <c r="P73" i="1" s="1"/>
  <c r="Q57" i="1"/>
  <c r="AW60" i="2"/>
  <c r="AV60" i="2"/>
  <c r="E9" i="1"/>
  <c r="Q8" i="8"/>
  <c r="H625" i="22" s="1"/>
  <c r="Q10" i="8"/>
  <c r="H627" i="22" s="1"/>
  <c r="H6" i="15"/>
  <c r="AS34" i="5"/>
  <c r="AS35" i="5"/>
  <c r="I20" i="22"/>
  <c r="I614" i="22" s="1"/>
  <c r="H14" i="15"/>
  <c r="F9" i="1"/>
  <c r="R73" i="1" s="1"/>
  <c r="H22" i="15"/>
  <c r="AX60" i="2"/>
  <c r="Q6" i="8"/>
  <c r="H623" i="22" s="1"/>
  <c r="AS36" i="5"/>
  <c r="H20" i="22" s="1"/>
  <c r="AC51" i="1" l="1"/>
  <c r="AD51" i="1" s="1"/>
  <c r="T8" i="8"/>
  <c r="W51" i="1"/>
  <c r="X51" i="1" s="1"/>
  <c r="T6" i="8"/>
  <c r="P18" i="8"/>
  <c r="G638" i="22" s="1"/>
  <c r="T10" i="8"/>
  <c r="F75" i="22" s="1"/>
  <c r="G75" i="22" s="1"/>
  <c r="H614" i="22"/>
  <c r="H48" i="22"/>
  <c r="G623" i="22"/>
  <c r="F640" i="22"/>
  <c r="G640" i="22"/>
  <c r="T20" i="8"/>
  <c r="G636" i="22"/>
  <c r="T16" i="8"/>
  <c r="G614" i="22"/>
  <c r="F48" i="22"/>
  <c r="Q16" i="8"/>
  <c r="R6" i="8"/>
  <c r="Q20" i="8"/>
  <c r="R10" i="8"/>
  <c r="R8" i="8"/>
  <c r="Q18" i="8"/>
  <c r="R84" i="1"/>
  <c r="R86" i="1"/>
  <c r="R82" i="1"/>
  <c r="I9" i="1"/>
  <c r="U73" i="1" s="1"/>
  <c r="AV28" i="5"/>
  <c r="AU33" i="5" s="1"/>
  <c r="BA60" i="2"/>
  <c r="S26" i="1"/>
  <c r="S31" i="1"/>
  <c r="S29" i="1"/>
  <c r="AZ60" i="2"/>
  <c r="H9" i="1"/>
  <c r="T73" i="1" s="1"/>
  <c r="AY71" i="2"/>
  <c r="AZ71" i="2" s="1"/>
  <c r="AY69" i="2"/>
  <c r="AZ69" i="2" s="1"/>
  <c r="AY67" i="2"/>
  <c r="AZ67" i="2" s="1"/>
  <c r="G9" i="1"/>
  <c r="S73" i="1" s="1"/>
  <c r="AY60" i="2"/>
  <c r="AI51" i="1" l="1"/>
  <c r="AJ51" i="1" s="1"/>
  <c r="T18" i="8"/>
  <c r="G48" i="22"/>
  <c r="F47" i="22"/>
  <c r="R20" i="8"/>
  <c r="H640" i="22"/>
  <c r="R18" i="8"/>
  <c r="H638" i="22"/>
  <c r="I625" i="22"/>
  <c r="U8" i="8"/>
  <c r="I627" i="22"/>
  <c r="U10" i="8"/>
  <c r="T22" i="8"/>
  <c r="F102" i="22" s="1"/>
  <c r="G102" i="22" s="1"/>
  <c r="I623" i="22"/>
  <c r="U6" i="8"/>
  <c r="R16" i="8"/>
  <c r="H636" i="22"/>
  <c r="AC53" i="1"/>
  <c r="AC52" i="1" s="1"/>
  <c r="AU36" i="5"/>
  <c r="J614" i="22" s="1"/>
  <c r="AU35" i="5"/>
  <c r="W53" i="1"/>
  <c r="AU34" i="5"/>
  <c r="I640" i="22" l="1"/>
  <c r="U20" i="8"/>
  <c r="AI53" i="1"/>
  <c r="AI52" i="1" s="1"/>
  <c r="F77" i="22"/>
  <c r="F76" i="22" s="1"/>
  <c r="I638" i="22"/>
  <c r="U18" i="8"/>
  <c r="I636" i="22"/>
  <c r="U16" i="8"/>
  <c r="AD53" i="1"/>
  <c r="X53" i="1"/>
  <c r="W52" i="1"/>
  <c r="BB60" i="2"/>
  <c r="J9" i="1"/>
  <c r="V73" i="1" s="1"/>
  <c r="BC60" i="2"/>
  <c r="K9" i="1"/>
  <c r="W73" i="1" s="1"/>
  <c r="AJ53" i="1" l="1"/>
  <c r="G77" i="22"/>
  <c r="U22" i="8"/>
  <c r="F104" i="22" s="1"/>
  <c r="F103" i="22" s="1"/>
  <c r="E33" i="22"/>
  <c r="G104" i="22" l="1"/>
  <c r="E40" i="22"/>
  <c r="E39" i="22" s="1"/>
  <c r="K111" i="6"/>
  <c r="N111" i="6" s="1"/>
  <c r="V111" i="6" s="1"/>
  <c r="U111" i="6"/>
  <c r="F119" i="6" l="1"/>
  <c r="M74" i="6"/>
  <c r="J75" i="6" s="1"/>
  <c r="J76" i="6" s="1"/>
  <c r="G119" i="6"/>
  <c r="N74" i="6"/>
  <c r="F126" i="6"/>
  <c r="F20" i="18" s="1"/>
  <c r="J128" i="6"/>
  <c r="G11" i="18" s="1"/>
  <c r="G12" i="18" s="1"/>
  <c r="G13" i="18" s="1"/>
  <c r="G14" i="18" s="1"/>
  <c r="G15" i="18" s="1"/>
  <c r="G16" i="18" s="1"/>
  <c r="G17" i="18" s="1"/>
  <c r="G18" i="18" s="1"/>
  <c r="G19" i="18" s="1"/>
  <c r="K126" i="6"/>
  <c r="F21" i="18" l="1"/>
  <c r="F22" i="18" s="1"/>
  <c r="F23" i="18" s="1"/>
  <c r="F24" i="18" s="1"/>
  <c r="F25" i="18" s="1"/>
  <c r="F26" i="18" s="1"/>
  <c r="F27" i="18" s="1"/>
  <c r="F28" i="18" s="1"/>
  <c r="F29" i="18" s="1"/>
  <c r="F30" i="18" s="1"/>
  <c r="AN20" i="18"/>
  <c r="AN30" i="18"/>
  <c r="AN24" i="18"/>
  <c r="AN28" i="18"/>
  <c r="AN26" i="18"/>
  <c r="AN25" i="18"/>
  <c r="AN22" i="18"/>
  <c r="AN29" i="18"/>
  <c r="AN27" i="18"/>
  <c r="AN21" i="18"/>
  <c r="AN23" i="18"/>
  <c r="G126" i="6"/>
  <c r="G128" i="6" s="1"/>
  <c r="H11" i="18" s="1"/>
  <c r="E133" i="6"/>
  <c r="F128" i="6"/>
  <c r="E132" i="6" s="1"/>
  <c r="AO15" i="18"/>
  <c r="AO16" i="18"/>
  <c r="AO13" i="18"/>
  <c r="AQ13" i="18" s="1"/>
  <c r="AS13" i="18" s="1"/>
  <c r="AO17" i="18"/>
  <c r="AO14" i="18"/>
  <c r="AO18" i="18"/>
  <c r="AO12" i="18"/>
  <c r="AQ12" i="18" s="1"/>
  <c r="AS12" i="18" s="1"/>
  <c r="AO11" i="18"/>
  <c r="AQ11" i="18" s="1"/>
  <c r="AS11" i="18" s="1"/>
  <c r="AO19" i="18"/>
  <c r="K128" i="6"/>
  <c r="I11" i="18" s="1"/>
  <c r="I12" i="18" s="1"/>
  <c r="I13" i="18" s="1"/>
  <c r="I14" i="18" s="1"/>
  <c r="I15" i="18" s="1"/>
  <c r="I16" i="18" s="1"/>
  <c r="I17" i="18" s="1"/>
  <c r="I18" i="18" s="1"/>
  <c r="I19" i="18" s="1"/>
  <c r="I20" i="18"/>
  <c r="AQ20" i="18" s="1"/>
  <c r="AS20" i="18" s="1"/>
  <c r="H20" i="18"/>
  <c r="E255" i="22"/>
  <c r="AP21" i="18"/>
  <c r="AR21" i="18" s="1"/>
  <c r="AQ19" i="18" l="1"/>
  <c r="AS19" i="18" s="1"/>
  <c r="AQ15" i="18"/>
  <c r="AS15" i="18" s="1"/>
  <c r="AQ18" i="18"/>
  <c r="AS18" i="18" s="1"/>
  <c r="AQ14" i="18"/>
  <c r="AS14" i="18" s="1"/>
  <c r="AQ17" i="18"/>
  <c r="AS17" i="18" s="1"/>
  <c r="AQ16" i="18"/>
  <c r="AS16" i="18" s="1"/>
  <c r="F254" i="22"/>
  <c r="H12" i="18"/>
  <c r="H13" i="18" s="1"/>
  <c r="H14" i="18" s="1"/>
  <c r="H15" i="18" s="1"/>
  <c r="H16" i="18" s="1"/>
  <c r="H17" i="18" s="1"/>
  <c r="H18" i="18" s="1"/>
  <c r="H19" i="18" s="1"/>
  <c r="F255" i="22"/>
  <c r="H21" i="18"/>
  <c r="H22" i="18" s="1"/>
  <c r="H23" i="18" s="1"/>
  <c r="H24" i="18" s="1"/>
  <c r="H25" i="18" s="1"/>
  <c r="H26" i="18" s="1"/>
  <c r="H27" i="18" s="1"/>
  <c r="H28" i="18" s="1"/>
  <c r="H29" i="18" s="1"/>
  <c r="H30" i="18" s="1"/>
  <c r="I21" i="18"/>
  <c r="AQ21" i="18" s="1"/>
  <c r="AS21" i="18" s="1"/>
  <c r="AP20" i="18"/>
  <c r="AR20" i="18" s="1"/>
  <c r="AP29" i="18"/>
  <c r="AR29" i="18" s="1"/>
  <c r="AO31" i="18"/>
  <c r="F11" i="18"/>
  <c r="F12" i="18" s="1"/>
  <c r="F13" i="18" s="1"/>
  <c r="F14" i="18" s="1"/>
  <c r="F15" i="18" s="1"/>
  <c r="F16" i="18" s="1"/>
  <c r="F17" i="18" s="1"/>
  <c r="F18" i="18" s="1"/>
  <c r="F19" i="18" s="1"/>
  <c r="AP22" i="18"/>
  <c r="AP25" i="18"/>
  <c r="H27" i="20"/>
  <c r="H27" i="19"/>
  <c r="AP30" i="18"/>
  <c r="AR30" i="18" s="1"/>
  <c r="AP26" i="18"/>
  <c r="AR26" i="18" s="1"/>
  <c r="AP28" i="18"/>
  <c r="AR28" i="18" s="1"/>
  <c r="AP24" i="18"/>
  <c r="AR24" i="18" s="1"/>
  <c r="AP27" i="18"/>
  <c r="AR27" i="18" s="1"/>
  <c r="AP23" i="18"/>
  <c r="AR23" i="18" s="1"/>
  <c r="I592" i="22"/>
  <c r="F22" i="6"/>
  <c r="H22" i="6" s="1"/>
  <c r="I317" i="22"/>
  <c r="I440" i="22"/>
  <c r="P289" i="22"/>
  <c r="I471" i="22"/>
  <c r="BD26" i="18"/>
  <c r="I562" i="22"/>
  <c r="I409" i="22"/>
  <c r="I534" i="22"/>
  <c r="G32" i="20"/>
  <c r="G32" i="21"/>
  <c r="G32" i="19"/>
  <c r="I438" i="22"/>
  <c r="I407" i="22"/>
  <c r="I532" i="22"/>
  <c r="I315" i="22"/>
  <c r="I469" i="22"/>
  <c r="P287" i="22"/>
  <c r="I590" i="22"/>
  <c r="BD24" i="18"/>
  <c r="I560" i="22"/>
  <c r="F20" i="6"/>
  <c r="H20" i="6" s="1"/>
  <c r="G30" i="19"/>
  <c r="G30" i="21"/>
  <c r="G30" i="20"/>
  <c r="I535" i="22"/>
  <c r="I593" i="22"/>
  <c r="I318" i="22"/>
  <c r="BD27" i="18"/>
  <c r="I472" i="22"/>
  <c r="I410" i="22"/>
  <c r="I563" i="22"/>
  <c r="G33" i="20"/>
  <c r="G33" i="19"/>
  <c r="I441" i="22"/>
  <c r="F23" i="6"/>
  <c r="H23" i="6" s="1"/>
  <c r="G33" i="21"/>
  <c r="I474" i="22"/>
  <c r="I443" i="22"/>
  <c r="I537" i="22"/>
  <c r="I320" i="22"/>
  <c r="I412" i="22"/>
  <c r="BD29" i="18"/>
  <c r="I595" i="22"/>
  <c r="G35" i="21"/>
  <c r="G35" i="19"/>
  <c r="G35" i="20"/>
  <c r="I565" i="22"/>
  <c r="I538" i="22"/>
  <c r="BD30" i="18"/>
  <c r="I566" i="22"/>
  <c r="I413" i="22"/>
  <c r="I444" i="22"/>
  <c r="I321" i="22"/>
  <c r="I596" i="22"/>
  <c r="I475" i="22"/>
  <c r="G36" i="21"/>
  <c r="G36" i="20"/>
  <c r="G36" i="19"/>
  <c r="BD28" i="18"/>
  <c r="I319" i="22"/>
  <c r="I564" i="22"/>
  <c r="I473" i="22"/>
  <c r="I594" i="22"/>
  <c r="I442" i="22"/>
  <c r="I411" i="22"/>
  <c r="G34" i="19"/>
  <c r="I536" i="22"/>
  <c r="G34" i="20"/>
  <c r="F24" i="6"/>
  <c r="H24" i="6" s="1"/>
  <c r="G34" i="21"/>
  <c r="I465" i="22"/>
  <c r="I311" i="22"/>
  <c r="I556" i="22"/>
  <c r="I403" i="22"/>
  <c r="BD20" i="18"/>
  <c r="I528" i="22"/>
  <c r="I586" i="22"/>
  <c r="I434" i="22"/>
  <c r="G26" i="20"/>
  <c r="P283" i="22"/>
  <c r="G26" i="21"/>
  <c r="G26" i="19"/>
  <c r="F16" i="6"/>
  <c r="H16" i="6" s="1"/>
  <c r="I406" i="22"/>
  <c r="I437" i="22"/>
  <c r="I559" i="22"/>
  <c r="I531" i="22"/>
  <c r="I468" i="22"/>
  <c r="I314" i="22"/>
  <c r="BD23" i="18"/>
  <c r="P286" i="22"/>
  <c r="G29" i="19"/>
  <c r="G29" i="21"/>
  <c r="I589" i="22"/>
  <c r="G29" i="20"/>
  <c r="F19" i="6"/>
  <c r="H19" i="6" s="1"/>
  <c r="E134" i="6"/>
  <c r="I436" i="22"/>
  <c r="I313" i="22"/>
  <c r="I558" i="22"/>
  <c r="I588" i="22"/>
  <c r="I530" i="22"/>
  <c r="I467" i="22"/>
  <c r="BD22" i="18"/>
  <c r="P285" i="22"/>
  <c r="G28" i="21"/>
  <c r="G28" i="20"/>
  <c r="G28" i="19"/>
  <c r="I405" i="22"/>
  <c r="F18" i="6"/>
  <c r="H18" i="6" s="1"/>
  <c r="I312" i="22"/>
  <c r="I557" i="22"/>
  <c r="I587" i="22"/>
  <c r="I529" i="22"/>
  <c r="P284" i="22"/>
  <c r="I404" i="22"/>
  <c r="BD21" i="18"/>
  <c r="G27" i="19"/>
  <c r="I466" i="22"/>
  <c r="I435" i="22"/>
  <c r="F17" i="6"/>
  <c r="H17" i="6" s="1"/>
  <c r="G27" i="20"/>
  <c r="G27" i="21"/>
  <c r="I533" i="22"/>
  <c r="I439" i="22"/>
  <c r="F21" i="6"/>
  <c r="H21" i="6" s="1"/>
  <c r="I316" i="22"/>
  <c r="P288" i="22"/>
  <c r="I591" i="22"/>
  <c r="BD25" i="18"/>
  <c r="I408" i="22"/>
  <c r="I561" i="22"/>
  <c r="I470" i="22"/>
  <c r="G31" i="20"/>
  <c r="G31" i="19"/>
  <c r="G31" i="21"/>
  <c r="H28" i="19" l="1"/>
  <c r="AR22" i="18"/>
  <c r="H31" i="19"/>
  <c r="AR25" i="18"/>
  <c r="H31" i="20"/>
  <c r="E254" i="22"/>
  <c r="I22" i="18"/>
  <c r="AQ22" i="18" s="1"/>
  <c r="AS22" i="18" s="1"/>
  <c r="H28" i="20"/>
  <c r="AN19" i="18"/>
  <c r="AP19" i="18" s="1"/>
  <c r="AR19" i="18" s="1"/>
  <c r="AN16" i="18"/>
  <c r="AP16" i="18" s="1"/>
  <c r="H22" i="19" s="1"/>
  <c r="AN18" i="18"/>
  <c r="AP18" i="18" s="1"/>
  <c r="AN12" i="18"/>
  <c r="AP12" i="18" s="1"/>
  <c r="AR12" i="18" s="1"/>
  <c r="AN14" i="18"/>
  <c r="AP14" i="18" s="1"/>
  <c r="AR14" i="18" s="1"/>
  <c r="AN13" i="18"/>
  <c r="AP13" i="18" s="1"/>
  <c r="AR13" i="18" s="1"/>
  <c r="AN11" i="18"/>
  <c r="AP11" i="18" s="1"/>
  <c r="AN17" i="18"/>
  <c r="AP17" i="18" s="1"/>
  <c r="AN15" i="18"/>
  <c r="AP15" i="18" s="1"/>
  <c r="H18" i="20"/>
  <c r="H18" i="19"/>
  <c r="H35" i="20"/>
  <c r="H35" i="19"/>
  <c r="H32" i="19"/>
  <c r="H32" i="20"/>
  <c r="H20" i="19"/>
  <c r="H33" i="20"/>
  <c r="H33" i="19"/>
  <c r="H36" i="19"/>
  <c r="H36" i="20"/>
  <c r="H25" i="20"/>
  <c r="H25" i="19"/>
  <c r="H29" i="20"/>
  <c r="H29" i="19"/>
  <c r="H30" i="20"/>
  <c r="H30" i="19"/>
  <c r="H19" i="19"/>
  <c r="H26" i="20"/>
  <c r="H26" i="19"/>
  <c r="H34" i="20"/>
  <c r="H34" i="19"/>
  <c r="BE23" i="18"/>
  <c r="J314" i="22"/>
  <c r="G19" i="6"/>
  <c r="H29" i="21"/>
  <c r="Q286" i="22"/>
  <c r="BF34" i="21"/>
  <c r="AB34" i="21"/>
  <c r="Z34" i="21"/>
  <c r="AP34" i="21"/>
  <c r="BD19" i="18"/>
  <c r="I464" i="22"/>
  <c r="I585" i="22"/>
  <c r="P282" i="22"/>
  <c r="I527" i="22"/>
  <c r="I555" i="22"/>
  <c r="I402" i="22"/>
  <c r="I433" i="22"/>
  <c r="I310" i="22"/>
  <c r="G25" i="19"/>
  <c r="G25" i="21"/>
  <c r="G25" i="20"/>
  <c r="F15" i="6"/>
  <c r="H15" i="6" s="1"/>
  <c r="I15" i="6" s="1"/>
  <c r="I552" i="22"/>
  <c r="J320" i="22"/>
  <c r="BE29" i="18"/>
  <c r="H35" i="21"/>
  <c r="BF30" i="20"/>
  <c r="AP30" i="20"/>
  <c r="AB30" i="20"/>
  <c r="Z30" i="20"/>
  <c r="H30" i="21"/>
  <c r="G20" i="6"/>
  <c r="J315" i="22"/>
  <c r="Q287" i="22"/>
  <c r="BE24" i="18"/>
  <c r="AB32" i="20"/>
  <c r="AP32" i="20"/>
  <c r="BF32" i="20"/>
  <c r="Z32" i="20"/>
  <c r="AB31" i="19"/>
  <c r="Z31" i="19"/>
  <c r="Q288" i="22"/>
  <c r="G21" i="6"/>
  <c r="J316" i="22"/>
  <c r="H31" i="21"/>
  <c r="BE25" i="18"/>
  <c r="G17" i="6"/>
  <c r="BE21" i="18"/>
  <c r="H27" i="21"/>
  <c r="J312" i="22"/>
  <c r="Q284" i="22"/>
  <c r="H28" i="21"/>
  <c r="BE22" i="18"/>
  <c r="J313" i="22"/>
  <c r="Q285" i="22"/>
  <c r="G18" i="6"/>
  <c r="Z29" i="19"/>
  <c r="AB29" i="19"/>
  <c r="I463" i="22"/>
  <c r="P274" i="22"/>
  <c r="I519" i="22"/>
  <c r="BD11" i="18"/>
  <c r="I304" i="22"/>
  <c r="I579" i="22"/>
  <c r="I521" i="22"/>
  <c r="I427" i="22"/>
  <c r="I549" i="22"/>
  <c r="F9" i="6"/>
  <c r="H9" i="6" s="1"/>
  <c r="G19" i="21"/>
  <c r="BF35" i="20"/>
  <c r="AB35" i="20"/>
  <c r="AP35" i="20"/>
  <c r="Z35" i="20"/>
  <c r="BF30" i="21"/>
  <c r="AP30" i="21"/>
  <c r="AB30" i="21"/>
  <c r="Z30" i="21"/>
  <c r="G22" i="6"/>
  <c r="J317" i="22"/>
  <c r="Q289" i="22"/>
  <c r="H32" i="21"/>
  <c r="BE26" i="18"/>
  <c r="BF31" i="21"/>
  <c r="AB31" i="21"/>
  <c r="AP31" i="21"/>
  <c r="Z31" i="21"/>
  <c r="BF28" i="21"/>
  <c r="Z28" i="21"/>
  <c r="AB28" i="21"/>
  <c r="AP28" i="21"/>
  <c r="BF29" i="21"/>
  <c r="AP29" i="21"/>
  <c r="AB29" i="21"/>
  <c r="Z29" i="21"/>
  <c r="BF26" i="21"/>
  <c r="AP26" i="21"/>
  <c r="AB26" i="21"/>
  <c r="Z26" i="21"/>
  <c r="Z34" i="19"/>
  <c r="AB34" i="19"/>
  <c r="AP31" i="20"/>
  <c r="BF31" i="20"/>
  <c r="AB31" i="20"/>
  <c r="Z31" i="20"/>
  <c r="AP27" i="21"/>
  <c r="BF27" i="21"/>
  <c r="AB27" i="21"/>
  <c r="Z27" i="21"/>
  <c r="AB28" i="19"/>
  <c r="Z28" i="19"/>
  <c r="F134" i="6"/>
  <c r="F133" i="6"/>
  <c r="AP29" i="20"/>
  <c r="AB29" i="20"/>
  <c r="BF29" i="20"/>
  <c r="Z29" i="20"/>
  <c r="BF26" i="20"/>
  <c r="AP26" i="20"/>
  <c r="AB26" i="20"/>
  <c r="Z26" i="20"/>
  <c r="BF34" i="20"/>
  <c r="AP34" i="20"/>
  <c r="Z34" i="20"/>
  <c r="AB34" i="20"/>
  <c r="G24" i="6"/>
  <c r="BE28" i="18"/>
  <c r="J319" i="22"/>
  <c r="H34" i="21"/>
  <c r="BF36" i="20"/>
  <c r="AP36" i="20"/>
  <c r="AB36" i="20"/>
  <c r="Z36" i="20"/>
  <c r="I303" i="22"/>
  <c r="I578" i="22"/>
  <c r="P275" i="22"/>
  <c r="I426" i="22"/>
  <c r="BD12" i="18"/>
  <c r="I520" i="22"/>
  <c r="I395" i="22"/>
  <c r="I457" i="22"/>
  <c r="G18" i="20"/>
  <c r="I548" i="22"/>
  <c r="G18" i="21"/>
  <c r="G18" i="19"/>
  <c r="F8" i="6"/>
  <c r="H8" i="6" s="1"/>
  <c r="I460" i="22"/>
  <c r="BD15" i="18"/>
  <c r="I523" i="22"/>
  <c r="I581" i="22"/>
  <c r="I429" i="22"/>
  <c r="P278" i="22"/>
  <c r="I306" i="22"/>
  <c r="I551" i="22"/>
  <c r="G21" i="19"/>
  <c r="I398" i="22"/>
  <c r="G21" i="21"/>
  <c r="G21" i="20"/>
  <c r="F11" i="6"/>
  <c r="H11" i="6" s="1"/>
  <c r="AB35" i="19"/>
  <c r="Z35" i="19"/>
  <c r="AB33" i="19"/>
  <c r="Z33" i="19"/>
  <c r="Z30" i="19"/>
  <c r="AB30" i="19"/>
  <c r="AB32" i="19"/>
  <c r="Z32" i="19"/>
  <c r="BF27" i="20"/>
  <c r="AP27" i="20"/>
  <c r="AB27" i="20"/>
  <c r="Z27" i="20"/>
  <c r="AB27" i="19"/>
  <c r="Z27" i="19"/>
  <c r="AP28" i="20"/>
  <c r="BF28" i="20"/>
  <c r="Z28" i="20"/>
  <c r="AB28" i="20"/>
  <c r="F132" i="6"/>
  <c r="AB26" i="19"/>
  <c r="Z26" i="19"/>
  <c r="H26" i="21"/>
  <c r="BE20" i="18"/>
  <c r="J311" i="22"/>
  <c r="Q283" i="22"/>
  <c r="G16" i="6"/>
  <c r="AP36" i="21"/>
  <c r="BF36" i="21"/>
  <c r="AB36" i="21"/>
  <c r="Z36" i="21"/>
  <c r="H36" i="21"/>
  <c r="J321" i="22"/>
  <c r="BE30" i="18"/>
  <c r="I428" i="22"/>
  <c r="I522" i="22"/>
  <c r="I550" i="22"/>
  <c r="I459" i="22"/>
  <c r="BD14" i="18"/>
  <c r="I580" i="22"/>
  <c r="G20" i="19"/>
  <c r="G20" i="21"/>
  <c r="I397" i="22"/>
  <c r="G20" i="20"/>
  <c r="AP35" i="21"/>
  <c r="BF35" i="21"/>
  <c r="AB35" i="21"/>
  <c r="Z35" i="21"/>
  <c r="BF33" i="21"/>
  <c r="AP33" i="21"/>
  <c r="AB33" i="21"/>
  <c r="Z33" i="21"/>
  <c r="BF33" i="20"/>
  <c r="AP33" i="20"/>
  <c r="AB33" i="20"/>
  <c r="Z33" i="20"/>
  <c r="H33" i="21"/>
  <c r="BE27" i="18"/>
  <c r="J318" i="22"/>
  <c r="G23" i="6"/>
  <c r="BF32" i="21"/>
  <c r="AP32" i="21"/>
  <c r="AB32" i="21"/>
  <c r="Z32" i="21"/>
  <c r="H23" i="20" l="1"/>
  <c r="AR17" i="18"/>
  <c r="H17" i="20"/>
  <c r="AR11" i="18"/>
  <c r="H19" i="20"/>
  <c r="G22" i="21"/>
  <c r="I307" i="22"/>
  <c r="H24" i="20"/>
  <c r="AR18" i="18"/>
  <c r="H22" i="20"/>
  <c r="AR16" i="18"/>
  <c r="I430" i="22"/>
  <c r="H20" i="20"/>
  <c r="H21" i="20"/>
  <c r="AR15" i="18"/>
  <c r="I432" i="22"/>
  <c r="I302" i="22"/>
  <c r="I584" i="22"/>
  <c r="I582" i="22"/>
  <c r="I583" i="22"/>
  <c r="F14" i="6"/>
  <c r="H14" i="6" s="1"/>
  <c r="I461" i="22"/>
  <c r="I23" i="18"/>
  <c r="AQ23" i="18" s="1"/>
  <c r="AS23" i="18" s="1"/>
  <c r="H24" i="19"/>
  <c r="G24" i="21"/>
  <c r="G22" i="20"/>
  <c r="I37" i="20" s="1"/>
  <c r="J445" i="22" s="1"/>
  <c r="I524" i="22"/>
  <c r="H21" i="19"/>
  <c r="I526" i="22"/>
  <c r="F12" i="6"/>
  <c r="H12" i="6" s="1"/>
  <c r="P279" i="22"/>
  <c r="I400" i="22"/>
  <c r="I547" i="22"/>
  <c r="F13" i="6"/>
  <c r="H13" i="6" s="1"/>
  <c r="I553" i="22"/>
  <c r="G19" i="20"/>
  <c r="I396" i="22"/>
  <c r="I425" i="22"/>
  <c r="G24" i="20"/>
  <c r="I401" i="22"/>
  <c r="H17" i="19"/>
  <c r="H23" i="19"/>
  <c r="G23" i="21"/>
  <c r="I431" i="22"/>
  <c r="F10" i="6"/>
  <c r="H10" i="6" s="1"/>
  <c r="P277" i="22"/>
  <c r="BD13" i="18"/>
  <c r="G17" i="20"/>
  <c r="BF17" i="20" s="1"/>
  <c r="I394" i="22"/>
  <c r="G24" i="19"/>
  <c r="AB24" i="19" s="1"/>
  <c r="BD18" i="18"/>
  <c r="G22" i="19"/>
  <c r="AB22" i="19" s="1"/>
  <c r="BD16" i="18"/>
  <c r="I462" i="22"/>
  <c r="G23" i="20"/>
  <c r="AB23" i="20" s="1"/>
  <c r="I308" i="22"/>
  <c r="F7" i="6"/>
  <c r="H7" i="6" s="1"/>
  <c r="I577" i="22"/>
  <c r="P280" i="22"/>
  <c r="BD17" i="18"/>
  <c r="P276" i="22"/>
  <c r="G17" i="19"/>
  <c r="I456" i="22"/>
  <c r="P281" i="22"/>
  <c r="I309" i="22"/>
  <c r="G23" i="19"/>
  <c r="AB23" i="19" s="1"/>
  <c r="I525" i="22"/>
  <c r="I305" i="22"/>
  <c r="G19" i="19"/>
  <c r="I458" i="22"/>
  <c r="G17" i="21"/>
  <c r="AN31" i="18"/>
  <c r="I414" i="22" s="1"/>
  <c r="I554" i="22"/>
  <c r="I399" i="22"/>
  <c r="Y38" i="21"/>
  <c r="I20" i="6"/>
  <c r="T20" i="6" s="1"/>
  <c r="I16" i="6"/>
  <c r="T16" i="6" s="1"/>
  <c r="I18" i="6"/>
  <c r="T18" i="6" s="1"/>
  <c r="I19" i="6"/>
  <c r="T19" i="6" s="1"/>
  <c r="I17" i="6"/>
  <c r="T17" i="6" s="1"/>
  <c r="Y39" i="20"/>
  <c r="V39" i="20"/>
  <c r="V38" i="21"/>
  <c r="AA33" i="20"/>
  <c r="BJ33" i="20"/>
  <c r="M563" i="22"/>
  <c r="AD33" i="20"/>
  <c r="G13" i="6"/>
  <c r="BE17" i="18"/>
  <c r="J308" i="22"/>
  <c r="H23" i="21"/>
  <c r="Q280" i="22"/>
  <c r="BJ28" i="20"/>
  <c r="AA28" i="20"/>
  <c r="M558" i="22"/>
  <c r="AD28" i="20"/>
  <c r="N529" i="22"/>
  <c r="AC27" i="19"/>
  <c r="AA32" i="19"/>
  <c r="M534" i="22"/>
  <c r="AD32" i="19"/>
  <c r="N535" i="22"/>
  <c r="AC33" i="19"/>
  <c r="N537" i="22"/>
  <c r="AC35" i="19"/>
  <c r="Z21" i="19"/>
  <c r="AB21" i="19"/>
  <c r="BF18" i="21"/>
  <c r="Z18" i="21"/>
  <c r="AB18" i="21"/>
  <c r="AP18" i="21"/>
  <c r="BK32" i="21"/>
  <c r="AC32" i="21"/>
  <c r="N592" i="22"/>
  <c r="BF23" i="20"/>
  <c r="AP23" i="20"/>
  <c r="Z23" i="20"/>
  <c r="BF20" i="20"/>
  <c r="AP20" i="20"/>
  <c r="AB20" i="20"/>
  <c r="Z20" i="20"/>
  <c r="AB20" i="19"/>
  <c r="Z20" i="19"/>
  <c r="N596" i="22"/>
  <c r="AC36" i="21"/>
  <c r="BK36" i="21"/>
  <c r="AA30" i="19"/>
  <c r="M532" i="22"/>
  <c r="AD30" i="19"/>
  <c r="M535" i="22"/>
  <c r="AA33" i="19"/>
  <c r="AD33" i="19"/>
  <c r="AP21" i="21"/>
  <c r="AB21" i="21"/>
  <c r="Z21" i="21"/>
  <c r="BF21" i="21"/>
  <c r="H21" i="21"/>
  <c r="G11" i="6"/>
  <c r="Q278" i="22"/>
  <c r="J306" i="22"/>
  <c r="BE15" i="18"/>
  <c r="AB18" i="20"/>
  <c r="BF18" i="20"/>
  <c r="Z18" i="20"/>
  <c r="AP18" i="20"/>
  <c r="AC34" i="20"/>
  <c r="BK34" i="20"/>
  <c r="N564" i="22"/>
  <c r="M556" i="22"/>
  <c r="BJ26" i="20"/>
  <c r="AD26" i="20"/>
  <c r="AA26" i="20"/>
  <c r="M530" i="22"/>
  <c r="AA28" i="19"/>
  <c r="AD28" i="19"/>
  <c r="BJ27" i="21"/>
  <c r="M587" i="22"/>
  <c r="AA27" i="21"/>
  <c r="AD27" i="21"/>
  <c r="BJ31" i="20"/>
  <c r="M561" i="22"/>
  <c r="AA31" i="20"/>
  <c r="AD31" i="20"/>
  <c r="N536" i="22"/>
  <c r="AC34" i="19"/>
  <c r="BK35" i="20"/>
  <c r="N565" i="22"/>
  <c r="AC35" i="20"/>
  <c r="J304" i="22"/>
  <c r="BE13" i="18"/>
  <c r="H19" i="21"/>
  <c r="Q276" i="22"/>
  <c r="G9" i="6"/>
  <c r="AP17" i="20"/>
  <c r="Z17" i="20"/>
  <c r="AB17" i="20"/>
  <c r="O37" i="20"/>
  <c r="M445" i="22" s="1"/>
  <c r="BD31" i="18"/>
  <c r="I322" i="22"/>
  <c r="I445" i="22"/>
  <c r="BF24" i="20"/>
  <c r="AB24" i="20"/>
  <c r="AP24" i="20"/>
  <c r="Z24" i="20"/>
  <c r="AD31" i="19"/>
  <c r="AA31" i="19"/>
  <c r="M533" i="22"/>
  <c r="BK32" i="20"/>
  <c r="N562" i="22"/>
  <c r="AC32" i="20"/>
  <c r="M560" i="22"/>
  <c r="AA30" i="20"/>
  <c r="BJ30" i="20"/>
  <c r="AD30" i="20"/>
  <c r="BF25" i="20"/>
  <c r="AB25" i="20"/>
  <c r="Z25" i="20"/>
  <c r="AP25" i="20"/>
  <c r="H20" i="21"/>
  <c r="J305" i="22"/>
  <c r="G10" i="6"/>
  <c r="Q277" i="22"/>
  <c r="BE14" i="18"/>
  <c r="AC26" i="19"/>
  <c r="N528" i="22"/>
  <c r="BK28" i="20"/>
  <c r="AC28" i="20"/>
  <c r="N558" i="22"/>
  <c r="M529" i="22"/>
  <c r="AD27" i="19"/>
  <c r="AA27" i="19"/>
  <c r="M537" i="22"/>
  <c r="AD35" i="19"/>
  <c r="AA35" i="19"/>
  <c r="Z18" i="19"/>
  <c r="AB18" i="19"/>
  <c r="BE12" i="18"/>
  <c r="G8" i="6"/>
  <c r="Q275" i="22"/>
  <c r="H18" i="21"/>
  <c r="J303" i="22"/>
  <c r="BJ34" i="20"/>
  <c r="M564" i="22"/>
  <c r="AA34" i="20"/>
  <c r="AD34" i="20"/>
  <c r="AC26" i="20"/>
  <c r="N556" i="22"/>
  <c r="BK26" i="20"/>
  <c r="AA29" i="20"/>
  <c r="BJ29" i="20"/>
  <c r="AD29" i="20"/>
  <c r="M559" i="22"/>
  <c r="BK27" i="21"/>
  <c r="AC27" i="21"/>
  <c r="N587" i="22"/>
  <c r="N561" i="22"/>
  <c r="AC31" i="20"/>
  <c r="BK31" i="20"/>
  <c r="M536" i="22"/>
  <c r="AD34" i="19"/>
  <c r="AA34" i="19"/>
  <c r="AA26" i="21"/>
  <c r="AD26" i="21"/>
  <c r="BJ26" i="21"/>
  <c r="M586" i="22"/>
  <c r="M589" i="22"/>
  <c r="BJ29" i="21"/>
  <c r="AD29" i="21"/>
  <c r="AA29" i="21"/>
  <c r="N591" i="22"/>
  <c r="BK31" i="21"/>
  <c r="AC31" i="21"/>
  <c r="I9" i="6"/>
  <c r="AC29" i="19"/>
  <c r="N531" i="22"/>
  <c r="AC31" i="19"/>
  <c r="N533" i="22"/>
  <c r="BJ32" i="20"/>
  <c r="AA32" i="20"/>
  <c r="AD32" i="20"/>
  <c r="M562" i="22"/>
  <c r="N560" i="22"/>
  <c r="AC30" i="20"/>
  <c r="BK30" i="20"/>
  <c r="BF22" i="20"/>
  <c r="AP22" i="20"/>
  <c r="Z22" i="20"/>
  <c r="AP22" i="21"/>
  <c r="BF22" i="21"/>
  <c r="AB22" i="21"/>
  <c r="Z22" i="21"/>
  <c r="BF25" i="21"/>
  <c r="AP25" i="21"/>
  <c r="AB25" i="21"/>
  <c r="Z25" i="21"/>
  <c r="AA33" i="21"/>
  <c r="M593" i="22"/>
  <c r="BJ33" i="21"/>
  <c r="AD33" i="21"/>
  <c r="M595" i="22"/>
  <c r="AA35" i="21"/>
  <c r="BJ35" i="21"/>
  <c r="AD35" i="21"/>
  <c r="M557" i="22"/>
  <c r="AA27" i="20"/>
  <c r="AD27" i="20"/>
  <c r="BJ27" i="20"/>
  <c r="BJ36" i="20"/>
  <c r="AD36" i="20"/>
  <c r="M566" i="22"/>
  <c r="N530" i="22"/>
  <c r="AC28" i="19"/>
  <c r="BK26" i="21"/>
  <c r="AC26" i="21"/>
  <c r="N586" i="22"/>
  <c r="AC29" i="21"/>
  <c r="BK29" i="21"/>
  <c r="N589" i="22"/>
  <c r="AC28" i="21"/>
  <c r="N588" i="22"/>
  <c r="BK28" i="21"/>
  <c r="M590" i="22"/>
  <c r="AA30" i="21"/>
  <c r="AD30" i="21"/>
  <c r="BJ30" i="21"/>
  <c r="BJ35" i="20"/>
  <c r="AA35" i="20"/>
  <c r="AD35" i="20"/>
  <c r="M565" i="22"/>
  <c r="AB17" i="19"/>
  <c r="BE11" i="18"/>
  <c r="H17" i="21"/>
  <c r="Q274" i="22"/>
  <c r="J302" i="22"/>
  <c r="G7" i="6"/>
  <c r="Q281" i="22"/>
  <c r="BE18" i="18"/>
  <c r="G14" i="6"/>
  <c r="J309" i="22"/>
  <c r="H24" i="21"/>
  <c r="AA29" i="19"/>
  <c r="M531" i="22"/>
  <c r="AD29" i="19"/>
  <c r="BE19" i="18"/>
  <c r="G15" i="6"/>
  <c r="J310" i="22"/>
  <c r="H25" i="21"/>
  <c r="Q282" i="22"/>
  <c r="M594" i="22"/>
  <c r="BJ34" i="21"/>
  <c r="AD34" i="21"/>
  <c r="AA34" i="21"/>
  <c r="AD32" i="21"/>
  <c r="M592" i="22"/>
  <c r="AA32" i="21"/>
  <c r="BJ32" i="21"/>
  <c r="AC33" i="20"/>
  <c r="BK33" i="20"/>
  <c r="N563" i="22"/>
  <c r="BK33" i="21"/>
  <c r="N593" i="22"/>
  <c r="AC33" i="21"/>
  <c r="AC35" i="21"/>
  <c r="N595" i="22"/>
  <c r="BK35" i="21"/>
  <c r="Z23" i="19"/>
  <c r="BF20" i="21"/>
  <c r="AB20" i="21"/>
  <c r="AP20" i="21"/>
  <c r="Z20" i="21"/>
  <c r="M596" i="22"/>
  <c r="BJ36" i="21"/>
  <c r="AA36" i="21"/>
  <c r="AD36" i="21"/>
  <c r="M528" i="22"/>
  <c r="AD26" i="19"/>
  <c r="AA26" i="19"/>
  <c r="BK27" i="20"/>
  <c r="AC27" i="20"/>
  <c r="N557" i="22"/>
  <c r="N534" i="22"/>
  <c r="AC32" i="19"/>
  <c r="AC30" i="19"/>
  <c r="N532" i="22"/>
  <c r="AP21" i="20"/>
  <c r="BF21" i="20"/>
  <c r="AB21" i="20"/>
  <c r="Z21" i="20"/>
  <c r="BK36" i="20"/>
  <c r="AC36" i="20"/>
  <c r="N566" i="22"/>
  <c r="BK29" i="20"/>
  <c r="N559" i="22"/>
  <c r="AC29" i="20"/>
  <c r="BJ28" i="21"/>
  <c r="AD28" i="21"/>
  <c r="M588" i="22"/>
  <c r="AA28" i="21"/>
  <c r="AA31" i="21"/>
  <c r="M591" i="22"/>
  <c r="BJ31" i="21"/>
  <c r="AD31" i="21"/>
  <c r="N590" i="22"/>
  <c r="BK30" i="21"/>
  <c r="AC30" i="21"/>
  <c r="AP19" i="21"/>
  <c r="AB19" i="21"/>
  <c r="Z19" i="21"/>
  <c r="BF19" i="21"/>
  <c r="AB19" i="20"/>
  <c r="BF17" i="21"/>
  <c r="AP17" i="21"/>
  <c r="AB17" i="21"/>
  <c r="Z17" i="21"/>
  <c r="AP24" i="21"/>
  <c r="AB24" i="21"/>
  <c r="BF24" i="21"/>
  <c r="Z24" i="21"/>
  <c r="BE16" i="18"/>
  <c r="Q279" i="22"/>
  <c r="H22" i="21"/>
  <c r="J307" i="22"/>
  <c r="G12" i="6"/>
  <c r="T15" i="6"/>
  <c r="AB25" i="19"/>
  <c r="Z25" i="19"/>
  <c r="N594" i="22"/>
  <c r="AC34" i="21"/>
  <c r="BK34" i="21"/>
  <c r="N16" i="19" l="1"/>
  <c r="M37" i="21"/>
  <c r="L476" i="22" s="1"/>
  <c r="I24" i="18"/>
  <c r="AQ24" i="18" s="1"/>
  <c r="AS24" i="18" s="1"/>
  <c r="G37" i="19"/>
  <c r="I13" i="6"/>
  <c r="T13" i="6" s="1"/>
  <c r="Z17" i="19"/>
  <c r="AA17" i="19" s="1"/>
  <c r="AB22" i="20"/>
  <c r="M37" i="20"/>
  <c r="L445" i="22" s="1"/>
  <c r="L16" i="19"/>
  <c r="Q37" i="21"/>
  <c r="N476" i="22" s="1"/>
  <c r="P36" i="19"/>
  <c r="Z23" i="21"/>
  <c r="K37" i="21"/>
  <c r="K476" i="22" s="1"/>
  <c r="S37" i="21"/>
  <c r="O476" i="22" s="1"/>
  <c r="W37" i="21"/>
  <c r="S37" i="19"/>
  <c r="O414" i="22" s="1"/>
  <c r="Z19" i="19"/>
  <c r="I11" i="6"/>
  <c r="I14" i="6"/>
  <c r="I16" i="19"/>
  <c r="N36" i="19"/>
  <c r="U37" i="20"/>
  <c r="P445" i="22" s="1"/>
  <c r="BF19" i="20"/>
  <c r="BF23" i="21"/>
  <c r="I36" i="19"/>
  <c r="J413" i="22" s="1"/>
  <c r="X37" i="20"/>
  <c r="G37" i="21"/>
  <c r="AP19" i="20"/>
  <c r="AV37" i="20" s="1"/>
  <c r="AB23" i="21"/>
  <c r="AB37" i="21" s="1"/>
  <c r="I12" i="6"/>
  <c r="T12" i="6" s="1"/>
  <c r="L36" i="19"/>
  <c r="Z22" i="19"/>
  <c r="AD22" i="19" s="1"/>
  <c r="K37" i="20"/>
  <c r="K445" i="22" s="1"/>
  <c r="G37" i="20"/>
  <c r="O37" i="21"/>
  <c r="M476" i="22" s="1"/>
  <c r="AP23" i="21"/>
  <c r="AQ37" i="21" s="1"/>
  <c r="O37" i="19"/>
  <c r="M414" i="22" s="1"/>
  <c r="T36" i="19"/>
  <c r="V36" i="19" s="1"/>
  <c r="Z24" i="19"/>
  <c r="AA24" i="19" s="1"/>
  <c r="I8" i="6"/>
  <c r="U37" i="21"/>
  <c r="P476" i="22" s="1"/>
  <c r="I37" i="21"/>
  <c r="J476" i="22" s="1"/>
  <c r="P16" i="19"/>
  <c r="R16" i="19"/>
  <c r="I476" i="22"/>
  <c r="S37" i="20"/>
  <c r="O445" i="22" s="1"/>
  <c r="X37" i="21"/>
  <c r="Q36" i="19"/>
  <c r="N413" i="22" s="1"/>
  <c r="R36" i="19"/>
  <c r="J16" i="19"/>
  <c r="I7" i="6"/>
  <c r="K36" i="19"/>
  <c r="Z19" i="20"/>
  <c r="BJ19" i="20" s="1"/>
  <c r="T16" i="19"/>
  <c r="V16" i="19" s="1"/>
  <c r="AB19" i="19"/>
  <c r="AC19" i="19" s="1"/>
  <c r="I10" i="6"/>
  <c r="T10" i="6" s="1"/>
  <c r="K16" i="19"/>
  <c r="Q16" i="19" s="1"/>
  <c r="J36" i="19"/>
  <c r="M36" i="19"/>
  <c r="L413" i="22" s="1"/>
  <c r="V15" i="6"/>
  <c r="AD9" i="6" s="1"/>
  <c r="V18" i="6"/>
  <c r="AD10" i="6" s="1"/>
  <c r="AE27" i="21"/>
  <c r="V39" i="21"/>
  <c r="V40" i="21" s="1"/>
  <c r="Z41" i="21" s="1"/>
  <c r="Y39" i="21"/>
  <c r="AE36" i="21"/>
  <c r="AE31" i="20"/>
  <c r="AE27" i="19"/>
  <c r="AE26" i="21"/>
  <c r="N579" i="22"/>
  <c r="AC19" i="21"/>
  <c r="BK19" i="21"/>
  <c r="M580" i="22"/>
  <c r="AA20" i="21"/>
  <c r="BJ20" i="21"/>
  <c r="AD20" i="21"/>
  <c r="K413" i="22"/>
  <c r="AR37" i="21"/>
  <c r="AS37" i="21"/>
  <c r="AV37" i="21"/>
  <c r="AC19" i="20"/>
  <c r="N549" i="22"/>
  <c r="BK19" i="20"/>
  <c r="BK20" i="21"/>
  <c r="N580" i="22"/>
  <c r="AC20" i="21"/>
  <c r="M519" i="22"/>
  <c r="AD17" i="19"/>
  <c r="AE27" i="20"/>
  <c r="BJ25" i="20"/>
  <c r="AA25" i="20"/>
  <c r="AD25" i="20"/>
  <c r="M555" i="22"/>
  <c r="AE30" i="20"/>
  <c r="BJ17" i="20"/>
  <c r="M547" i="22"/>
  <c r="AD17" i="20"/>
  <c r="AA17" i="20"/>
  <c r="AD18" i="20"/>
  <c r="M548" i="22"/>
  <c r="BJ18" i="20"/>
  <c r="AA18" i="20"/>
  <c r="AD21" i="21"/>
  <c r="BJ21" i="21"/>
  <c r="M581" i="22"/>
  <c r="AA21" i="21"/>
  <c r="N550" i="22"/>
  <c r="BK20" i="20"/>
  <c r="AC20" i="20"/>
  <c r="BK23" i="20"/>
  <c r="N553" i="22"/>
  <c r="AC23" i="20"/>
  <c r="AA18" i="21"/>
  <c r="BJ18" i="21"/>
  <c r="AD18" i="21"/>
  <c r="M578" i="22"/>
  <c r="AA21" i="19"/>
  <c r="M523" i="22"/>
  <c r="AD21" i="19"/>
  <c r="AE28" i="20"/>
  <c r="AE33" i="20"/>
  <c r="N527" i="22"/>
  <c r="AC25" i="19"/>
  <c r="BJ24" i="21"/>
  <c r="M584" i="22"/>
  <c r="AD24" i="21"/>
  <c r="AA24" i="21"/>
  <c r="T14" i="6"/>
  <c r="M549" i="22"/>
  <c r="M579" i="22"/>
  <c r="BJ19" i="21"/>
  <c r="AA19" i="21"/>
  <c r="AD19" i="21"/>
  <c r="AE28" i="21"/>
  <c r="AA21" i="20"/>
  <c r="BJ21" i="20"/>
  <c r="AD21" i="20"/>
  <c r="M551" i="22"/>
  <c r="BK23" i="21"/>
  <c r="AE32" i="21"/>
  <c r="N519" i="22"/>
  <c r="AC17" i="19"/>
  <c r="AE35" i="20"/>
  <c r="AE30" i="21"/>
  <c r="AE35" i="21"/>
  <c r="AE33" i="21"/>
  <c r="AA25" i="21"/>
  <c r="BJ25" i="21"/>
  <c r="M585" i="22"/>
  <c r="AD25" i="21"/>
  <c r="M582" i="22"/>
  <c r="AA22" i="21"/>
  <c r="AD22" i="21"/>
  <c r="BJ22" i="21"/>
  <c r="BJ22" i="20"/>
  <c r="AA22" i="20"/>
  <c r="M552" i="22"/>
  <c r="AD22" i="20"/>
  <c r="AE32" i="20"/>
  <c r="T7" i="6"/>
  <c r="AE29" i="21"/>
  <c r="AE34" i="19"/>
  <c r="AE34" i="20"/>
  <c r="N520" i="22"/>
  <c r="AC18" i="19"/>
  <c r="N555" i="22"/>
  <c r="BK25" i="20"/>
  <c r="AC25" i="20"/>
  <c r="N524" i="22"/>
  <c r="AC22" i="19"/>
  <c r="AE31" i="19"/>
  <c r="BK24" i="20"/>
  <c r="AC24" i="20"/>
  <c r="N554" i="22"/>
  <c r="N547" i="22"/>
  <c r="BK17" i="20"/>
  <c r="AC17" i="20"/>
  <c r="AB37" i="20"/>
  <c r="AR37" i="20"/>
  <c r="AW37" i="20"/>
  <c r="AQ37" i="20"/>
  <c r="AE26" i="20"/>
  <c r="N581" i="22"/>
  <c r="AC21" i="21"/>
  <c r="BK21" i="21"/>
  <c r="AE32" i="19"/>
  <c r="AD17" i="21"/>
  <c r="BJ17" i="21"/>
  <c r="M577" i="22"/>
  <c r="Z37" i="21"/>
  <c r="AA17" i="21"/>
  <c r="AC21" i="20"/>
  <c r="N551" i="22"/>
  <c r="BK21" i="20"/>
  <c r="AA23" i="19"/>
  <c r="M525" i="22"/>
  <c r="AD23" i="19"/>
  <c r="T11" i="6"/>
  <c r="N585" i="22"/>
  <c r="AC25" i="21"/>
  <c r="BK25" i="21"/>
  <c r="BK22" i="21"/>
  <c r="N582" i="22"/>
  <c r="AC22" i="21"/>
  <c r="BK22" i="20"/>
  <c r="AC22" i="20"/>
  <c r="N552" i="22"/>
  <c r="AC24" i="19"/>
  <c r="N526" i="22"/>
  <c r="T9" i="6"/>
  <c r="BK18" i="20"/>
  <c r="N548" i="22"/>
  <c r="AC18" i="20"/>
  <c r="AA20" i="19"/>
  <c r="M522" i="22"/>
  <c r="AD20" i="19"/>
  <c r="M527" i="22"/>
  <c r="AA25" i="19"/>
  <c r="AD25" i="19"/>
  <c r="BK24" i="21"/>
  <c r="N584" i="22"/>
  <c r="AC24" i="21"/>
  <c r="N577" i="22"/>
  <c r="BK17" i="21"/>
  <c r="AC17" i="21"/>
  <c r="AE31" i="21"/>
  <c r="AE26" i="19"/>
  <c r="N525" i="22"/>
  <c r="AC23" i="19"/>
  <c r="BJ23" i="21"/>
  <c r="M583" i="22"/>
  <c r="AA23" i="21"/>
  <c r="AE34" i="21"/>
  <c r="Q36" i="20"/>
  <c r="J393" i="22"/>
  <c r="AE29" i="20"/>
  <c r="AA18" i="19"/>
  <c r="M520" i="22"/>
  <c r="AD18" i="19"/>
  <c r="AE35" i="19"/>
  <c r="M524" i="22"/>
  <c r="AA22" i="19"/>
  <c r="AA24" i="20"/>
  <c r="M554" i="22"/>
  <c r="BJ24" i="20"/>
  <c r="AD24" i="20"/>
  <c r="AE28" i="19"/>
  <c r="T8" i="6"/>
  <c r="AE33" i="19"/>
  <c r="AE30" i="19"/>
  <c r="N522" i="22"/>
  <c r="AC20" i="19"/>
  <c r="AA20" i="20"/>
  <c r="BJ20" i="20"/>
  <c r="M550" i="22"/>
  <c r="AD20" i="20"/>
  <c r="BJ23" i="20"/>
  <c r="M553" i="22"/>
  <c r="AD23" i="20"/>
  <c r="AA23" i="20"/>
  <c r="BK18" i="21"/>
  <c r="AC18" i="21"/>
  <c r="N578" i="22"/>
  <c r="AC21" i="19"/>
  <c r="N523" i="22"/>
  <c r="M5" i="6" l="1"/>
  <c r="AD19" i="19"/>
  <c r="AC23" i="21"/>
  <c r="K393" i="22"/>
  <c r="AA19" i="19"/>
  <c r="Z37" i="20"/>
  <c r="AD37" i="20" s="1"/>
  <c r="K37" i="19"/>
  <c r="K414" i="22" s="1"/>
  <c r="I37" i="19"/>
  <c r="J414" i="22" s="1"/>
  <c r="M521" i="22"/>
  <c r="M16" i="19"/>
  <c r="U16" i="19" s="1"/>
  <c r="I25" i="18"/>
  <c r="AQ25" i="18" s="1"/>
  <c r="AS25" i="18" s="1"/>
  <c r="M526" i="22"/>
  <c r="AD23" i="21"/>
  <c r="AW37" i="21"/>
  <c r="AT37" i="20"/>
  <c r="AD19" i="20"/>
  <c r="AT37" i="21"/>
  <c r="U36" i="19"/>
  <c r="J538" i="22" s="1"/>
  <c r="AA19" i="20"/>
  <c r="AU37" i="21"/>
  <c r="AD24" i="19"/>
  <c r="AE24" i="19" s="1"/>
  <c r="N583" i="22"/>
  <c r="AS37" i="20"/>
  <c r="N521" i="22"/>
  <c r="V38" i="19"/>
  <c r="Z44" i="21"/>
  <c r="V11" i="6"/>
  <c r="AD8" i="6" s="1"/>
  <c r="Y40" i="21"/>
  <c r="AB41" i="21" s="1"/>
  <c r="AB44" i="21" s="1"/>
  <c r="AE24" i="20"/>
  <c r="BJ37" i="21"/>
  <c r="AE25" i="21"/>
  <c r="AE17" i="20"/>
  <c r="Y38" i="19"/>
  <c r="AE22" i="19"/>
  <c r="AE25" i="20"/>
  <c r="AE25" i="19"/>
  <c r="AE23" i="19"/>
  <c r="AE23" i="21"/>
  <c r="AE20" i="20"/>
  <c r="AE19" i="21"/>
  <c r="N444" i="22"/>
  <c r="T36" i="20"/>
  <c r="V36" i="20" s="1"/>
  <c r="AU36" i="20"/>
  <c r="AU37" i="20" s="1"/>
  <c r="Q37" i="20"/>
  <c r="N445" i="22" s="1"/>
  <c r="AC37" i="21"/>
  <c r="M597" i="22"/>
  <c r="E18" i="22"/>
  <c r="O9" i="8"/>
  <c r="N567" i="22"/>
  <c r="AE65" i="20"/>
  <c r="Q7" i="8"/>
  <c r="G17" i="22"/>
  <c r="J7" i="22" s="1"/>
  <c r="AE22" i="20"/>
  <c r="AE21" i="20"/>
  <c r="AE18" i="21"/>
  <c r="AE21" i="21"/>
  <c r="AE18" i="20"/>
  <c r="AE18" i="19"/>
  <c r="BK37" i="21"/>
  <c r="AC37" i="20"/>
  <c r="I5" i="6"/>
  <c r="I6" i="6"/>
  <c r="I4" i="6"/>
  <c r="AE22" i="21"/>
  <c r="BJ37" i="20"/>
  <c r="AE20" i="21"/>
  <c r="Z36" i="19"/>
  <c r="X36" i="19"/>
  <c r="AE20" i="19"/>
  <c r="BK37" i="20"/>
  <c r="V7" i="6"/>
  <c r="AD7" i="6" s="1"/>
  <c r="AE23" i="20"/>
  <c r="AE19" i="19"/>
  <c r="AD37" i="21"/>
  <c r="Q9" i="8"/>
  <c r="G18" i="22"/>
  <c r="J9" i="22" s="1"/>
  <c r="N597" i="22"/>
  <c r="AA37" i="21"/>
  <c r="AE17" i="21"/>
  <c r="AE24" i="21"/>
  <c r="M567" i="22"/>
  <c r="AD65" i="20"/>
  <c r="O7" i="8"/>
  <c r="E17" i="22"/>
  <c r="AE17" i="19"/>
  <c r="N393" i="22"/>
  <c r="Q37" i="19"/>
  <c r="N414" i="22" s="1"/>
  <c r="V39" i="19" l="1"/>
  <c r="AM42" i="18" s="1"/>
  <c r="L393" i="22"/>
  <c r="M37" i="19"/>
  <c r="L414" i="22" s="1"/>
  <c r="AE19" i="20"/>
  <c r="I26" i="18"/>
  <c r="AQ26" i="18" s="1"/>
  <c r="AS26" i="18" s="1"/>
  <c r="P413" i="22"/>
  <c r="F18" i="22"/>
  <c r="H34" i="22" s="1"/>
  <c r="V40" i="19"/>
  <c r="V38" i="20"/>
  <c r="V40" i="20" s="1"/>
  <c r="Z41" i="20" s="1"/>
  <c r="BJ40" i="20"/>
  <c r="H18" i="22"/>
  <c r="M568" i="22"/>
  <c r="BJ38" i="21"/>
  <c r="M598" i="22"/>
  <c r="AB42" i="21"/>
  <c r="AB43" i="21"/>
  <c r="E611" i="22"/>
  <c r="E651" i="22"/>
  <c r="F31" i="22"/>
  <c r="G31" i="22" s="1"/>
  <c r="D506" i="22"/>
  <c r="T4" i="6"/>
  <c r="I26" i="6"/>
  <c r="J4" i="6" s="1"/>
  <c r="H624" i="22"/>
  <c r="Q17" i="8"/>
  <c r="R7" i="8"/>
  <c r="D507" i="22"/>
  <c r="E652" i="22"/>
  <c r="E612" i="22"/>
  <c r="F34" i="22"/>
  <c r="G34" i="22" s="1"/>
  <c r="F624" i="22"/>
  <c r="O17" i="8"/>
  <c r="P7" i="8"/>
  <c r="I18" i="22"/>
  <c r="I612" i="22" s="1"/>
  <c r="AE37" i="21"/>
  <c r="T6" i="6"/>
  <c r="AD6" i="6" s="1"/>
  <c r="Z43" i="21"/>
  <c r="E507" i="22"/>
  <c r="Q19" i="8"/>
  <c r="H626" i="22"/>
  <c r="R9" i="8"/>
  <c r="AB36" i="19"/>
  <c r="L538" i="22"/>
  <c r="T5" i="6"/>
  <c r="AD5" i="6" s="1"/>
  <c r="J518" i="22"/>
  <c r="Z16" i="19"/>
  <c r="X16" i="19"/>
  <c r="Y39" i="19" s="1"/>
  <c r="AT42" i="18" s="1"/>
  <c r="P393" i="22"/>
  <c r="U37" i="19"/>
  <c r="P414" i="22" s="1"/>
  <c r="I17" i="22"/>
  <c r="I611" i="22" s="1"/>
  <c r="O19" i="8"/>
  <c r="P9" i="8"/>
  <c r="F626" i="22"/>
  <c r="Y38" i="20"/>
  <c r="AT41" i="18" s="1"/>
  <c r="AA36" i="20"/>
  <c r="F36" i="22"/>
  <c r="G652" i="22"/>
  <c r="G612" i="22"/>
  <c r="AA36" i="19"/>
  <c r="M538" i="22"/>
  <c r="G611" i="22"/>
  <c r="G651" i="22"/>
  <c r="F33" i="22"/>
  <c r="Z42" i="21"/>
  <c r="F612" i="22" l="1"/>
  <c r="I27" i="18"/>
  <c r="AQ27" i="18" s="1"/>
  <c r="AS27" i="18" s="1"/>
  <c r="AM41" i="18"/>
  <c r="H612" i="22"/>
  <c r="H36" i="22"/>
  <c r="Z41" i="19"/>
  <c r="AM43" i="18"/>
  <c r="AU44" i="18" s="1"/>
  <c r="Y40" i="20"/>
  <c r="AB41" i="20" s="1"/>
  <c r="AB44" i="20" s="1"/>
  <c r="H17" i="22" s="1"/>
  <c r="AD41" i="21"/>
  <c r="AD44" i="21" s="1"/>
  <c r="J612" i="22" s="1"/>
  <c r="S4" i="6"/>
  <c r="G36" i="22"/>
  <c r="F35" i="22"/>
  <c r="G626" i="22"/>
  <c r="AC41" i="1"/>
  <c r="AD41" i="1" s="1"/>
  <c r="F62" i="22"/>
  <c r="G62" i="22" s="1"/>
  <c r="T9" i="8"/>
  <c r="H639" i="22"/>
  <c r="R19" i="8"/>
  <c r="F639" i="22"/>
  <c r="P19" i="8"/>
  <c r="L518" i="22"/>
  <c r="AB16" i="19"/>
  <c r="X37" i="19"/>
  <c r="AC36" i="19"/>
  <c r="N538" i="22"/>
  <c r="J6" i="6"/>
  <c r="S6" i="6" s="1"/>
  <c r="AC6" i="6" s="1"/>
  <c r="G624" i="22"/>
  <c r="F59" i="22"/>
  <c r="G59" i="22" s="1"/>
  <c r="AC38" i="1"/>
  <c r="AD38" i="1" s="1"/>
  <c r="T7" i="8"/>
  <c r="T26" i="6"/>
  <c r="AD4" i="6"/>
  <c r="AD16" i="6" s="1"/>
  <c r="AD17" i="6" s="1"/>
  <c r="AC17" i="6" s="1"/>
  <c r="AD36" i="19"/>
  <c r="AE36" i="19" s="1"/>
  <c r="M518" i="22"/>
  <c r="AA16" i="19"/>
  <c r="Z37" i="19"/>
  <c r="U9" i="8"/>
  <c r="F64" i="22"/>
  <c r="AC43" i="1"/>
  <c r="I626" i="22"/>
  <c r="F637" i="22"/>
  <c r="P17" i="8"/>
  <c r="H637" i="22"/>
  <c r="R17" i="8"/>
  <c r="J22" i="6"/>
  <c r="S22" i="6" s="1"/>
  <c r="AC12" i="6" s="1"/>
  <c r="J21" i="6"/>
  <c r="S21" i="6" s="1"/>
  <c r="AC11" i="6" s="1"/>
  <c r="J24" i="6"/>
  <c r="S24" i="6" s="1"/>
  <c r="AC14" i="6" s="1"/>
  <c r="J23" i="6"/>
  <c r="S23" i="6" s="1"/>
  <c r="AC13" i="6" s="1"/>
  <c r="J25" i="6"/>
  <c r="S25" i="6" s="1"/>
  <c r="AC15" i="6" s="1"/>
  <c r="J18" i="6"/>
  <c r="S18" i="6" s="1"/>
  <c r="J13" i="6"/>
  <c r="S13" i="6" s="1"/>
  <c r="J16" i="6"/>
  <c r="S16" i="6" s="1"/>
  <c r="J19" i="6"/>
  <c r="S19" i="6" s="1"/>
  <c r="J17" i="6"/>
  <c r="S17" i="6" s="1"/>
  <c r="J20" i="6"/>
  <c r="S20" i="6" s="1"/>
  <c r="J15" i="6"/>
  <c r="S15" i="6" s="1"/>
  <c r="J11" i="6"/>
  <c r="S11" i="6" s="1"/>
  <c r="J10" i="6"/>
  <c r="S10" i="6" s="1"/>
  <c r="J8" i="6"/>
  <c r="S8" i="6" s="1"/>
  <c r="J9" i="6"/>
  <c r="S9" i="6" s="1"/>
  <c r="J12" i="6"/>
  <c r="S12" i="6" s="1"/>
  <c r="J14" i="6"/>
  <c r="S14" i="6" s="1"/>
  <c r="J7" i="6"/>
  <c r="S7" i="6" s="1"/>
  <c r="AE36" i="20"/>
  <c r="AA37" i="20"/>
  <c r="J5" i="6"/>
  <c r="S5" i="6" s="1"/>
  <c r="AC5" i="6" s="1"/>
  <c r="I624" i="22"/>
  <c r="AC40" i="1"/>
  <c r="F61" i="22"/>
  <c r="U7" i="8"/>
  <c r="G33" i="22"/>
  <c r="F32" i="22"/>
  <c r="I28" i="18" l="1"/>
  <c r="AQ28" i="18" s="1"/>
  <c r="AS28" i="18" s="1"/>
  <c r="H611" i="22"/>
  <c r="H33" i="22"/>
  <c r="AB43" i="20"/>
  <c r="AB42" i="20"/>
  <c r="U7" i="6"/>
  <c r="AC7" i="6" s="1"/>
  <c r="AD43" i="21"/>
  <c r="AD42" i="21"/>
  <c r="AA37" i="19"/>
  <c r="Z43" i="19" s="1"/>
  <c r="M539" i="22"/>
  <c r="Z42" i="19"/>
  <c r="O5" i="8"/>
  <c r="E16" i="22"/>
  <c r="G639" i="22"/>
  <c r="AI41" i="1"/>
  <c r="AJ41" i="1" s="1"/>
  <c r="F90" i="22"/>
  <c r="G90" i="22" s="1"/>
  <c r="T19" i="8"/>
  <c r="U18" i="6"/>
  <c r="AC10" i="6" s="1"/>
  <c r="AI38" i="1"/>
  <c r="AJ38" i="1" s="1"/>
  <c r="T17" i="8"/>
  <c r="G637" i="22"/>
  <c r="F87" i="22"/>
  <c r="G87" i="22" s="1"/>
  <c r="AD43" i="1"/>
  <c r="AC42" i="1"/>
  <c r="N518" i="22"/>
  <c r="AB37" i="19"/>
  <c r="AC16" i="19"/>
  <c r="AC37" i="19" s="1"/>
  <c r="G61" i="22"/>
  <c r="F60" i="22"/>
  <c r="U11" i="6"/>
  <c r="AC8" i="6" s="1"/>
  <c r="F63" i="22"/>
  <c r="G64" i="22"/>
  <c r="Z44" i="19"/>
  <c r="F16" i="22" s="1"/>
  <c r="I639" i="22"/>
  <c r="F92" i="22"/>
  <c r="AI43" i="1"/>
  <c r="U19" i="8"/>
  <c r="S26" i="6"/>
  <c r="AC4" i="6"/>
  <c r="AE37" i="20"/>
  <c r="AD41" i="20" s="1"/>
  <c r="AC39" i="1"/>
  <c r="AD40" i="1"/>
  <c r="U15" i="6"/>
  <c r="AC9" i="6" s="1"/>
  <c r="F89" i="22"/>
  <c r="U17" i="8"/>
  <c r="I637" i="22"/>
  <c r="AI40" i="1"/>
  <c r="AD16" i="19"/>
  <c r="AE16" i="19" s="1"/>
  <c r="J26" i="6"/>
  <c r="I29" i="18" l="1"/>
  <c r="AQ29" i="18" s="1"/>
  <c r="AS29" i="18" s="1"/>
  <c r="H28" i="22"/>
  <c r="AI39" i="1"/>
  <c r="AJ40" i="1"/>
  <c r="N539" i="22"/>
  <c r="M540" i="22" s="1"/>
  <c r="Q5" i="8"/>
  <c r="AD37" i="19"/>
  <c r="G16" i="22"/>
  <c r="J4" i="22" s="1"/>
  <c r="J10" i="22" s="1"/>
  <c r="F88" i="22"/>
  <c r="G89" i="22"/>
  <c r="AD44" i="20"/>
  <c r="J611" i="22" s="1"/>
  <c r="AD43" i="20"/>
  <c r="AD42" i="20"/>
  <c r="F610" i="22"/>
  <c r="E505" i="22"/>
  <c r="Z44" i="20"/>
  <c r="F17" i="22" s="1"/>
  <c r="H31" i="22" s="1"/>
  <c r="Z42" i="20"/>
  <c r="Z43" i="20"/>
  <c r="AJ43" i="1"/>
  <c r="AI42" i="1"/>
  <c r="E610" i="22"/>
  <c r="D505" i="22"/>
  <c r="E650" i="22"/>
  <c r="F28" i="22"/>
  <c r="G28" i="22" s="1"/>
  <c r="AC16" i="6"/>
  <c r="G92" i="22"/>
  <c r="F91" i="22"/>
  <c r="F622" i="22"/>
  <c r="P5" i="8"/>
  <c r="O15" i="8"/>
  <c r="I30" i="18" l="1"/>
  <c r="AQ30" i="18" s="1"/>
  <c r="AS30" i="18" s="1"/>
  <c r="J38" i="22"/>
  <c r="H38" i="22" s="1"/>
  <c r="G622" i="22"/>
  <c r="AC35" i="1"/>
  <c r="T5" i="8"/>
  <c r="F56" i="22"/>
  <c r="I16" i="22"/>
  <c r="I610" i="22" s="1"/>
  <c r="AE37" i="19"/>
  <c r="AD41" i="19" s="1"/>
  <c r="F635" i="22"/>
  <c r="P15" i="8"/>
  <c r="F38" i="22"/>
  <c r="F50" i="22" s="1"/>
  <c r="F611" i="22"/>
  <c r="E506" i="22"/>
  <c r="G650" i="22"/>
  <c r="G610" i="22"/>
  <c r="F30" i="22"/>
  <c r="Q15" i="8"/>
  <c r="R5" i="8"/>
  <c r="H622" i="22"/>
  <c r="G38" i="22" l="1"/>
  <c r="AU40" i="18"/>
  <c r="AD44" i="19"/>
  <c r="I622" i="22"/>
  <c r="F58" i="22"/>
  <c r="AC37" i="1"/>
  <c r="U5" i="8"/>
  <c r="G56" i="22"/>
  <c r="F66" i="22"/>
  <c r="G66" i="22" s="1"/>
  <c r="R15" i="8"/>
  <c r="H635" i="22"/>
  <c r="G635" i="22"/>
  <c r="AI35" i="1"/>
  <c r="T15" i="8"/>
  <c r="F84" i="22"/>
  <c r="G30" i="22"/>
  <c r="F29" i="22"/>
  <c r="F40" i="22"/>
  <c r="AW40" i="18" s="1"/>
  <c r="AC45" i="1"/>
  <c r="AD45" i="1" s="1"/>
  <c r="AD35" i="1"/>
  <c r="AU47" i="18" l="1"/>
  <c r="AU45" i="18"/>
  <c r="AU46" i="18"/>
  <c r="AD42" i="19"/>
  <c r="AD43" i="19"/>
  <c r="J610" i="22"/>
  <c r="G84" i="22"/>
  <c r="F94" i="22"/>
  <c r="G94" i="22" s="1"/>
  <c r="G40" i="22"/>
  <c r="F39" i="22"/>
  <c r="U15" i="8"/>
  <c r="I635" i="22"/>
  <c r="AI37" i="1"/>
  <c r="F86" i="22"/>
  <c r="AD37" i="1"/>
  <c r="AC36" i="1"/>
  <c r="AC47" i="1"/>
  <c r="AI45" i="1"/>
  <c r="AJ45" i="1" s="1"/>
  <c r="AJ35" i="1"/>
  <c r="F57" i="22"/>
  <c r="F68" i="22"/>
  <c r="G58" i="22"/>
  <c r="F85" i="22" l="1"/>
  <c r="G86" i="22"/>
  <c r="F96" i="22"/>
  <c r="G68" i="22"/>
  <c r="F67" i="22"/>
  <c r="AD47" i="1"/>
  <c r="AC46" i="1"/>
  <c r="AJ37" i="1"/>
  <c r="AI47" i="1"/>
  <c r="AI36" i="1"/>
  <c r="AJ47" i="1" l="1"/>
  <c r="AI46" i="1"/>
  <c r="G96" i="22"/>
  <c r="F95" i="22"/>
  <c r="Y40" i="19"/>
  <c r="AB41" i="19" l="1"/>
  <c r="AB43" i="19" s="1"/>
  <c r="AT43" i="18"/>
  <c r="AW44" i="18" s="1"/>
  <c r="AB42" i="19" l="1"/>
  <c r="AB44" i="19"/>
  <c r="H16" i="22" s="1"/>
  <c r="AW47" i="18"/>
  <c r="AW45" i="18"/>
  <c r="AW46" i="18"/>
  <c r="H30" i="22" l="1"/>
  <c r="J40" i="22"/>
  <c r="H40" i="22" s="1"/>
  <c r="H610" i="22"/>
</calcChain>
</file>

<file path=xl/comments1.xml><?xml version="1.0" encoding="utf-8"?>
<comments xmlns="http://schemas.openxmlformats.org/spreadsheetml/2006/main">
  <authors>
    <author>Goitom, Senay</author>
  </authors>
  <commentList>
    <comment ref="J13" authorId="0" shapeId="0">
      <text>
        <r>
          <rPr>
            <b/>
            <sz val="8"/>
            <color indexed="81"/>
            <rFont val="Tahoma"/>
            <family val="2"/>
          </rPr>
          <t>Goitom, Senay:</t>
        </r>
        <r>
          <rPr>
            <sz val="8"/>
            <color indexed="81"/>
            <rFont val="Tahoma"/>
            <family val="2"/>
          </rPr>
          <t xml:space="preserve">
CALCULATED FROM COLUMNS S &amp; U</t>
        </r>
      </text>
    </comment>
  </commentList>
</comments>
</file>

<file path=xl/comments2.xml><?xml version="1.0" encoding="utf-8"?>
<comments xmlns="http://schemas.openxmlformats.org/spreadsheetml/2006/main">
  <authors>
    <author>Pinckard, Margaret</author>
  </authors>
  <commentList>
    <comment ref="O35" authorId="0" shapeId="0">
      <text>
        <r>
          <rPr>
            <b/>
            <sz val="9"/>
            <color indexed="81"/>
            <rFont val="Tahoma"/>
            <family val="2"/>
          </rPr>
          <t>Pinckard, Margaret:</t>
        </r>
        <r>
          <rPr>
            <sz val="9"/>
            <color indexed="81"/>
            <rFont val="Tahoma"/>
            <family val="2"/>
          </rPr>
          <t xml:space="preserve">
Made up kWh number, get correct UEC from Senay
</t>
        </r>
      </text>
    </comment>
  </commentList>
</comments>
</file>

<file path=xl/comments3.xml><?xml version="1.0" encoding="utf-8"?>
<comments xmlns="http://schemas.openxmlformats.org/spreadsheetml/2006/main">
  <authors>
    <author>Pinckard, Margaret</author>
  </authors>
  <commentList>
    <comment ref="Q7" authorId="0" shapeId="0">
      <text>
        <r>
          <rPr>
            <b/>
            <sz val="9"/>
            <color indexed="81"/>
            <rFont val="Tahoma"/>
            <family val="2"/>
          </rPr>
          <t>Pinckard, Margaret:</t>
        </r>
        <r>
          <rPr>
            <sz val="9"/>
            <color indexed="81"/>
            <rFont val="Tahoma"/>
            <family val="2"/>
          </rPr>
          <t xml:space="preserve">
Update this table with Ex Ante claims from the Access Database for Steve Kromer</t>
        </r>
      </text>
    </comment>
  </commentList>
</comments>
</file>

<file path=xl/comments4.xml><?xml version="1.0" encoding="utf-8"?>
<comments xmlns="http://schemas.openxmlformats.org/spreadsheetml/2006/main">
  <authors>
    <author>Goitom, Senay</author>
    <author>Pinckard, Margaret</author>
  </authors>
  <commentList>
    <comment ref="AE13" authorId="0" shapeId="0">
      <text>
        <r>
          <rPr>
            <b/>
            <sz val="8"/>
            <color indexed="81"/>
            <rFont val="Tahoma"/>
            <family val="2"/>
          </rPr>
          <t>Goitom, Senay:</t>
        </r>
        <r>
          <rPr>
            <sz val="8"/>
            <color indexed="81"/>
            <rFont val="Tahoma"/>
            <family val="2"/>
          </rPr>
          <t xml:space="preserve">
CALCULATED FROM COLUMNS S &amp; U</t>
        </r>
      </text>
    </comment>
    <comment ref="AK13" authorId="0" shapeId="0">
      <text>
        <r>
          <rPr>
            <b/>
            <sz val="8"/>
            <color indexed="81"/>
            <rFont val="Tahoma"/>
            <family val="2"/>
          </rPr>
          <t>Goitom, Senay:</t>
        </r>
        <r>
          <rPr>
            <sz val="8"/>
            <color indexed="81"/>
            <rFont val="Tahoma"/>
            <family val="2"/>
          </rPr>
          <t xml:space="preserve">
CALCULATED FROM COLUMNS S &amp; U</t>
        </r>
      </text>
    </comment>
    <comment ref="O41" authorId="1" shapeId="0">
      <text>
        <r>
          <rPr>
            <b/>
            <sz val="9"/>
            <color indexed="81"/>
            <rFont val="Tahoma"/>
            <family val="2"/>
          </rPr>
          <t>Pinckard, Margaret:</t>
        </r>
        <r>
          <rPr>
            <sz val="9"/>
            <color indexed="81"/>
            <rFont val="Tahoma"/>
            <family val="2"/>
          </rPr>
          <t xml:space="preserve">
Made up kWh number, get correct UEC from Senay
</t>
        </r>
      </text>
    </comment>
  </commentList>
</comments>
</file>

<file path=xl/comments5.xml><?xml version="1.0" encoding="utf-8"?>
<comments xmlns="http://schemas.openxmlformats.org/spreadsheetml/2006/main">
  <authors>
    <author>Pinckard, Margaret</author>
  </authors>
  <commentList>
    <comment ref="O41" authorId="0" shapeId="0">
      <text>
        <r>
          <rPr>
            <b/>
            <sz val="9"/>
            <color indexed="81"/>
            <rFont val="Tahoma"/>
            <family val="2"/>
          </rPr>
          <t>Pinckard, Margaret:</t>
        </r>
        <r>
          <rPr>
            <sz val="9"/>
            <color indexed="81"/>
            <rFont val="Tahoma"/>
            <family val="2"/>
          </rPr>
          <t xml:space="preserve">
Made up kWh number, get correct UEC from Senay
</t>
        </r>
      </text>
    </comment>
  </commentList>
</comments>
</file>

<file path=xl/comments6.xml><?xml version="1.0" encoding="utf-8"?>
<comments xmlns="http://schemas.openxmlformats.org/spreadsheetml/2006/main">
  <authors>
    <author>Pinckard, Margaret</author>
  </authors>
  <commentList>
    <comment ref="O41" authorId="0" shapeId="0">
      <text>
        <r>
          <rPr>
            <b/>
            <sz val="9"/>
            <color indexed="81"/>
            <rFont val="Tahoma"/>
            <family val="2"/>
          </rPr>
          <t>Pinckard, Margaret:</t>
        </r>
        <r>
          <rPr>
            <sz val="9"/>
            <color indexed="81"/>
            <rFont val="Tahoma"/>
            <family val="2"/>
          </rPr>
          <t xml:space="preserve">
Made up kWh number, get correct UEC from Senay
</t>
        </r>
      </text>
    </comment>
  </commentList>
</comments>
</file>

<file path=xl/sharedStrings.xml><?xml version="1.0" encoding="utf-8"?>
<sst xmlns="http://schemas.openxmlformats.org/spreadsheetml/2006/main" count="5617" uniqueCount="1015">
  <si>
    <t>IOU</t>
  </si>
  <si>
    <t>would_have_kept</t>
  </si>
  <si>
    <t>Frequency</t>
  </si>
  <si>
    <t>Percent</t>
  </si>
  <si>
    <t>SDGE</t>
  </si>
  <si>
    <t>Total</t>
  </si>
  <si>
    <t>Rao-Scott Chi-Square Test</t>
  </si>
  <si>
    <t>Pearson Chi-Square</t>
  </si>
  <si>
    <t>Design Correction</t>
  </si>
  <si>
    <t>Rao-Scott Chi-Square</t>
  </si>
  <si>
    <t>DF</t>
  </si>
  <si>
    <t>Pr &gt; ChiSq</t>
  </si>
  <si>
    <t>F Value</t>
  </si>
  <si>
    <t>Num DF</t>
  </si>
  <si>
    <t>Den DF</t>
  </si>
  <si>
    <t>Pr &gt; F</t>
  </si>
  <si>
    <t>Weighted</t>
  </si>
  <si>
    <t>PGE</t>
  </si>
  <si>
    <t>SCE</t>
  </si>
  <si>
    <t>PGE Tracking Q4 2012</t>
  </si>
  <si>
    <t>TechType</t>
  </si>
  <si>
    <t>_TYPE_</t>
  </si>
  <si>
    <t>_FREQ_</t>
  </si>
  <si>
    <t>IOUExAnteQuantity</t>
  </si>
  <si>
    <t>EDFilledUESkWh</t>
  </si>
  <si>
    <t>Freezer</t>
  </si>
  <si>
    <t>RefrigFrz</t>
  </si>
  <si>
    <t>EDFilledExAnteQuantity</t>
  </si>
  <si>
    <t>Refrig</t>
  </si>
  <si>
    <t>SCE Tracking Q4 2012</t>
  </si>
  <si>
    <t>SDGE Tracking Q4 2012</t>
  </si>
  <si>
    <t>Keep</t>
  </si>
  <si>
    <t>Discard</t>
  </si>
  <si>
    <t>Data Summary</t>
  </si>
  <si>
    <t>Number of Observations</t>
  </si>
  <si>
    <t>Sum of Weights</t>
  </si>
  <si>
    <t>Table of would_have_kept</t>
  </si>
  <si>
    <t>Std Dev of</t>
  </si>
  <si>
    <t>Wgt Freq</t>
  </si>
  <si>
    <t>Std Err of</t>
  </si>
  <si>
    <t>90% Confidence Limits</t>
  </si>
  <si>
    <t>for Percent</t>
  </si>
  <si>
    <t>&lt;.0001</t>
  </si>
  <si>
    <t>Sample Size = 1088</t>
  </si>
  <si>
    <t>Sample Size = 140</t>
  </si>
  <si>
    <t>Would Have Kept/Would Have Discarded Decision: Appliance Type Only</t>
  </si>
  <si>
    <t>app_type=REF</t>
  </si>
  <si>
    <t>app_type=FRZ</t>
  </si>
  <si>
    <t>Keep In Use</t>
  </si>
  <si>
    <t>Keep Unused</t>
  </si>
  <si>
    <t>Table of disposition_kept_in_use</t>
  </si>
  <si>
    <t>disposition_kept_in_use</t>
  </si>
  <si>
    <t>What purchasers of the used equipment would have done in the absence of available units</t>
  </si>
  <si>
    <t>Direct Destroy</t>
  </si>
  <si>
    <t>Individuals</t>
  </si>
  <si>
    <t>Multi-Family Housing</t>
  </si>
  <si>
    <t>Commercial Spaces</t>
  </si>
  <si>
    <t>Other</t>
  </si>
  <si>
    <t>Destroy</t>
  </si>
  <si>
    <t>Primary</t>
  </si>
  <si>
    <t>Secondary</t>
  </si>
  <si>
    <t>retail channel</t>
  </si>
  <si>
    <t>P2P channel</t>
  </si>
  <si>
    <t>Source</t>
  </si>
  <si>
    <t>Discarder survey</t>
  </si>
  <si>
    <t>Sec Mkt Interviews</t>
  </si>
  <si>
    <t>Participant Survey</t>
  </si>
  <si>
    <t>NP Acquirer Survey</t>
  </si>
  <si>
    <t>Assumed</t>
  </si>
  <si>
    <t>NP Discarders</t>
  </si>
  <si>
    <t>NP Acquirers</t>
  </si>
  <si>
    <t>Secondary Market Interviews</t>
  </si>
  <si>
    <t>Looked for a similar free unit elsewhere</t>
  </si>
  <si>
    <t>Purchased a similar used unit elsewhere</t>
  </si>
  <si>
    <t>Purchased a new unit from a retailer</t>
  </si>
  <si>
    <t>Not purchased a  [ApplianceVar2] /stuck with what you already had</t>
  </si>
  <si>
    <t>Not purchased a  unit /stuck with what you already had</t>
  </si>
  <si>
    <t xml:space="preserve">Purchased a similar used unit elsewhere </t>
  </si>
  <si>
    <t>The SAS System</t>
  </si>
  <si>
    <t>The SURVEYFREQ Procedure</t>
  </si>
  <si>
    <t>Table of dispositionPath</t>
  </si>
  <si>
    <t>dispositionPath</t>
  </si>
  <si>
    <t>Std Dev of</t>
  </si>
  <si>
    <t>Wgt Freq</t>
  </si>
  <si>
    <t>Std Err of</t>
  </si>
  <si>
    <t>90% Confidence Limits</t>
  </si>
  <si>
    <t>for Percent</t>
  </si>
  <si>
    <t>P2P</t>
  </si>
  <si>
    <t>Retail</t>
  </si>
  <si>
    <t>Sample Size = 282</t>
  </si>
  <si>
    <t>Table of aq9a</t>
  </si>
  <si>
    <t>aq9a</t>
  </si>
  <si>
    <t>Primary Units</t>
  </si>
  <si>
    <t>Secondary Units</t>
  </si>
  <si>
    <t>Table of aq9b</t>
  </si>
  <si>
    <t>aq9b</t>
  </si>
  <si>
    <t>Sample Size = 46</t>
  </si>
  <si>
    <t>Retail channel - Secondary units</t>
  </si>
  <si>
    <t>Retail channel - Primary units</t>
  </si>
  <si>
    <t>Program Alternative Full Year Consumption</t>
  </si>
  <si>
    <t>Appliance Type</t>
  </si>
  <si>
    <t>Refrigerator</t>
  </si>
  <si>
    <t xml:space="preserve"> Baseline Usage factor</t>
  </si>
  <si>
    <t>The MEANS Procedure</t>
  </si>
  <si>
    <t>Analysis Variable : fractn_of_yr_in_use</t>
  </si>
  <si>
    <t>N</t>
  </si>
  <si>
    <t>Mean</t>
  </si>
  <si>
    <t>Std Dev</t>
  </si>
  <si>
    <t>Std Error</t>
  </si>
  <si>
    <t>Lower 90%</t>
  </si>
  <si>
    <t>CL for Mean</t>
  </si>
  <si>
    <t>Upper 90%</t>
  </si>
  <si>
    <t>Gross Unit Energy Savings</t>
  </si>
  <si>
    <t>Proportion of program units in this path</t>
  </si>
  <si>
    <t>Participant Part - Use factor for all refrigerators</t>
  </si>
  <si>
    <t>Gross Full Year Consumption</t>
  </si>
  <si>
    <t>Participant Part - Use factor for secondary refrigerators (excluding units with zero value)</t>
  </si>
  <si>
    <t>1036 is for Participants who would have kept the unit (program ave UEC)
791 is for P2P recipients who received free unit (mean UEC of progam units &lt;= 10 yrs)
747 is for recipients who purchased similar used (mean UEC of progam units &lt; 10 yrs)
540 is 2008 Shipment Weight UEC from AHAM for purchased new option</t>
  </si>
  <si>
    <t xml:space="preserve"> 0.95 is mean usage factor of participant secondary units, excluding units with zero usage; 
1.0 usage factor for primary units; 
0 usage factor for Units Kept Unused</t>
  </si>
  <si>
    <t>Gross Full Year Consumption * Baseline Usage Factor</t>
  </si>
  <si>
    <t>NTG Ratio</t>
  </si>
  <si>
    <t>0 if a free-rider, otherwise 1</t>
  </si>
  <si>
    <t>1 if program unit would have been in a primary unit position, 
0.95 if secondary (same as baseline usage factor)</t>
  </si>
  <si>
    <t>Multiplied percentages along each outcome path</t>
  </si>
  <si>
    <t>Free-Rider Factor</t>
  </si>
  <si>
    <t>Gross Baseline UEC (Part use adjusted)</t>
  </si>
  <si>
    <t>Gross UEC with Program (part use adjusted)</t>
  </si>
  <si>
    <t>=Gross Baseline Consumption - Program Gross Consumption</t>
  </si>
  <si>
    <t>Net Savings</t>
  </si>
  <si>
    <t>Usage Factor on the grid with the Program</t>
  </si>
  <si>
    <t>n/a</t>
  </si>
  <si>
    <t>Scenario</t>
  </si>
  <si>
    <t>Keep in Use</t>
  </si>
  <si>
    <t>Destroyed by Discarder</t>
  </si>
  <si>
    <t>Transferred, P2P, Primary Unit, Replaced by similar free unit</t>
  </si>
  <si>
    <t>Transferred, P2P, Primary Unit, Replaced by similar purchased unit</t>
  </si>
  <si>
    <t>Transferred, P2P, Primary Unit, Replaced by new unit</t>
  </si>
  <si>
    <t>Transferred, P2P, Primary Unit, Not replaced</t>
  </si>
  <si>
    <t>Transferred, P2P, Secondary Unit, Replaced by similar free unit</t>
  </si>
  <si>
    <t>Transferred, P2P, Secondary Unit, Replaced by similar purchased unit</t>
  </si>
  <si>
    <t>Transferred, P2P, Secondary Unit, Replaced by new unit</t>
  </si>
  <si>
    <t>Transferred, P2P, Secondary Unit, Not replaced</t>
  </si>
  <si>
    <t>Transferred, Retail, Individual, Primary Unit, Replaced by similar purchased unit</t>
  </si>
  <si>
    <t>Transferred, Retail, Individual, Primary Unit, Replaced by new unit</t>
  </si>
  <si>
    <t>Transferred,  Retail, Individual, Primary Unit, Not replaced</t>
  </si>
  <si>
    <t>Transferred, Retail, Individual, Secondary Unit, Replaced by similar purchased unit</t>
  </si>
  <si>
    <t>Transferred, Retail, Individual, Secondary Unit, Replaced by new unit</t>
  </si>
  <si>
    <t>Transferred,  Retail, Individual, Secondary Unit, Not replaced</t>
  </si>
  <si>
    <t>=Gross Energy Savings * Free rider Factor</t>
  </si>
  <si>
    <t xml:space="preserve">Net Savings * % for this path    
</t>
  </si>
  <si>
    <t>=Program Alternative Full Year Consumptions * Program Usage Factor =(X * Z)</t>
  </si>
  <si>
    <t>full year UEC of PG&amp;E program refigerators (Q7)</t>
  </si>
  <si>
    <t>Table of kept</t>
  </si>
  <si>
    <t>Copied directly from Senay's rtf doc.</t>
  </si>
  <si>
    <t>PGE Refrigerators</t>
  </si>
  <si>
    <t>PGE Spare Refrigerators</t>
  </si>
  <si>
    <t>SCE Spare Refrigerators</t>
  </si>
  <si>
    <t>SDGE Spare Refrigerators</t>
  </si>
  <si>
    <t xml:space="preserve">PGE Refrigerator </t>
  </si>
  <si>
    <t>SCE Refrigerator</t>
  </si>
  <si>
    <t>SDGE Refrigerator</t>
  </si>
  <si>
    <t>All IOUs</t>
  </si>
  <si>
    <t>Participant Part - Use factor for freezers (excluding units with zero value)</t>
  </si>
  <si>
    <t>Frequency Missing = 3</t>
  </si>
  <si>
    <t>Frequency Missing = 2</t>
  </si>
  <si>
    <t>Frequency Missing = 1</t>
  </si>
  <si>
    <t>Frequency Missing = 4</t>
  </si>
  <si>
    <t>Table of aq4</t>
  </si>
  <si>
    <t>aq4</t>
  </si>
  <si>
    <t>Primary/Secondary Refrigerator Breakdown--PG&amp;E P2P</t>
  </si>
  <si>
    <t>Primary/Secondary Refrigerator Breakdown--PG&amp;E Retail</t>
  </si>
  <si>
    <t>Primary/Secondary Refrigerator Breakdown--SCE Retail</t>
  </si>
  <si>
    <t>Primary/Secondary Refrigerator Breakdown--SCE P2P</t>
  </si>
  <si>
    <t>Primary/Secondary Refrigerator Breakdown--SDG&amp;E Retail</t>
  </si>
  <si>
    <t>SCE Refrigerators</t>
  </si>
  <si>
    <t>SDGE Refrigerators</t>
  </si>
  <si>
    <t>.</t>
  </si>
  <si>
    <t>90% CI</t>
  </si>
  <si>
    <t>Relative Precision</t>
  </si>
  <si>
    <t>iou</t>
  </si>
  <si>
    <t>stderr</t>
  </si>
  <si>
    <t>PGE_REF_ERR</t>
  </si>
  <si>
    <t>SCE_REF_ERR</t>
  </si>
  <si>
    <t>SDGE_REF_ERR</t>
  </si>
  <si>
    <t>ALL_IOUS_REF_ERR</t>
  </si>
  <si>
    <t>PGE_FRZ_ERR</t>
  </si>
  <si>
    <t>SCE_FRZ_ERR</t>
  </si>
  <si>
    <t>SDGE_FRZ_ERR</t>
  </si>
  <si>
    <t>ALL_IOUS_FRZ_ERR</t>
  </si>
  <si>
    <t>In situ UEC</t>
  </si>
  <si>
    <t>[923, 1149]</t>
  </si>
  <si>
    <t>[844, 1073]</t>
  </si>
  <si>
    <t>[691, 940]</t>
  </si>
  <si>
    <t>[816, 1041]</t>
  </si>
  <si>
    <t>[1017, 1421]</t>
  </si>
  <si>
    <t>[800, 1214]</t>
  </si>
  <si>
    <t>[636, 1090]</t>
  </si>
  <si>
    <t>[829, 1236]</t>
  </si>
  <si>
    <t>All Program Units</t>
  </si>
  <si>
    <t>Units Viable as "Free" Units</t>
  </si>
  <si>
    <t>[630, 951]</t>
  </si>
  <si>
    <t>[599, 875]</t>
  </si>
  <si>
    <t>[572, 875]</t>
  </si>
  <si>
    <t>[573, 878]</t>
  </si>
  <si>
    <t>Units Viable as "Purchased" Units</t>
  </si>
  <si>
    <t>[610, 956]</t>
  </si>
  <si>
    <t>[463, 806]</t>
  </si>
  <si>
    <t>[463, 857]</t>
  </si>
  <si>
    <t>[517, 892]</t>
  </si>
  <si>
    <t>[409, 1024]</t>
  </si>
  <si>
    <t>DNV GL Program Savings</t>
  </si>
  <si>
    <t>Program Units Viable on the "Free Unit" Secondhand Market</t>
  </si>
  <si>
    <t>Program Units Viable on the "Purchased Unit" Secondhand Market</t>
  </si>
  <si>
    <t xml:space="preserve"> 0.91 is mean usage factor of participant secondary units, excluding units with zero usage; 
1.0 usage factor for primary units; 
0 usage factor for Units Kept Unused</t>
  </si>
  <si>
    <t>1 if program unit would have been in a primary unit position, 
0.91 if secondary (same as baseline usage factor)</t>
  </si>
  <si>
    <t>If cell is blank, it is because the value in column T is assumed to be a constant, and therefor has no associated Std. Error</t>
  </si>
  <si>
    <t>If cell is blank, it is because the value in column X is assumed to be a constant, and therefor has no associated Std. Error</t>
  </si>
  <si>
    <t>If cell is blank, it is because the value in column Z is assumed to be a constant, and therefor has no associated Std. Error</t>
  </si>
  <si>
    <t>TO BE CALCULATED</t>
  </si>
  <si>
    <t>Freezers All IOUs</t>
  </si>
  <si>
    <t>Actions of Participants</t>
  </si>
  <si>
    <t>Proportions</t>
  </si>
  <si>
    <t>Actions of Participants &amp; Discarders</t>
  </si>
  <si>
    <t>Pop Mean</t>
  </si>
  <si>
    <t>SE of POP Mean</t>
  </si>
  <si>
    <t>UEC mean</t>
  </si>
  <si>
    <t>P2P Coincidence Factor</t>
  </si>
  <si>
    <t>Usage of Participants</t>
  </si>
  <si>
    <t>Retail Channel</t>
  </si>
  <si>
    <t>KIU</t>
  </si>
  <si>
    <t>Frequency Missing = 916</t>
  </si>
  <si>
    <t>Frequency Missing = 200</t>
  </si>
  <si>
    <t>Frequency Missing = 536</t>
  </si>
  <si>
    <t>Frequency Missing = 180</t>
  </si>
  <si>
    <t>Frequency Missing = 125</t>
  </si>
  <si>
    <t>ALL Refrigerators</t>
  </si>
  <si>
    <t>PGE refrigerators</t>
  </si>
  <si>
    <t>All Refrigerators, All IOUs</t>
  </si>
  <si>
    <t>Frequency Missing = 6</t>
  </si>
  <si>
    <t>Equipment Gross UEC  Freezers</t>
  </si>
  <si>
    <t>NAECA
2011 Shipment Weighted Energy Consumption, 
Source: AHAM, Energy Efficiency and Consumption Trends 2012</t>
  </si>
  <si>
    <t>Gross Savings</t>
  </si>
  <si>
    <t>Aggregate Net Unit Savings</t>
  </si>
  <si>
    <t>Aggregate Gross Unit Savings</t>
  </si>
  <si>
    <t>channel</t>
  </si>
  <si>
    <t>Cumulative</t>
  </si>
  <si>
    <t>Ret</t>
  </si>
  <si>
    <t>Frequency Missing = 16</t>
  </si>
  <si>
    <t>p2p</t>
  </si>
  <si>
    <t>Sample Size = 20</t>
  </si>
  <si>
    <t>Sample Size = 45</t>
  </si>
  <si>
    <t>Primary/Secondary Refrigerator Breakdown--SDGE P2P</t>
  </si>
  <si>
    <t>Sample Size = 100</t>
  </si>
  <si>
    <t>Utility</t>
  </si>
  <si>
    <t>Peer-to-Peer Transfer</t>
  </si>
  <si>
    <t>Retail Transfer</t>
  </si>
  <si>
    <t>PG&amp;E</t>
  </si>
  <si>
    <t>SDG&amp;E</t>
  </si>
  <si>
    <t xml:space="preserve">Not purchased a  unit </t>
  </si>
  <si>
    <t>Because SDGE n is too low, use mean freqs from SCE and PG&amp;E</t>
  </si>
  <si>
    <t>Used as a:</t>
  </si>
  <si>
    <t>%</t>
  </si>
  <si>
    <t>Action if unit acquired was unavailable:</t>
  </si>
  <si>
    <t>Units purchased to install in rental units, Primary Unit</t>
  </si>
  <si>
    <t>Commercial spaces, Primary Unit</t>
  </si>
  <si>
    <t>Other, Primary Unit</t>
  </si>
  <si>
    <t xml:space="preserve">Destroyed by Secondary Market Actors </t>
  </si>
  <si>
    <t>Keep in Use by Participant</t>
  </si>
  <si>
    <t>Keep Unused Used by Participant</t>
  </si>
  <si>
    <t>Final Destinations of</t>
  </si>
  <si>
    <t>Used Refrigerators &amp; Freezers in CA "Retail" Market</t>
  </si>
  <si>
    <t>(Outside of IOU Programs &amp;</t>
  </si>
  <si>
    <t>Peer-to-peer Market)</t>
  </si>
  <si>
    <t>Estimated Annual Volume of Used Refrigerators and Freezers (units)</t>
  </si>
  <si>
    <t>Rental Property Owners</t>
  </si>
  <si>
    <t>Commercial Properties</t>
  </si>
  <si>
    <t>Total*</t>
  </si>
  <si>
    <t>CL of Proportions</t>
  </si>
  <si>
    <t>+/-</t>
  </si>
  <si>
    <t>upper CI=</t>
  </si>
  <si>
    <t>lower CI=</t>
  </si>
  <si>
    <t># of unit short term metered</t>
  </si>
  <si>
    <t>smallest n from any  survey results</t>
  </si>
  <si>
    <t>app_type</t>
  </si>
  <si>
    <t>FRZ</t>
  </si>
  <si>
    <t>REF</t>
  </si>
  <si>
    <t>90/x precision</t>
  </si>
  <si>
    <t>Gross Unit Savings</t>
  </si>
  <si>
    <t>Net Unit Savings</t>
  </si>
  <si>
    <t>Freezers</t>
  </si>
  <si>
    <t>Refrigerators</t>
  </si>
  <si>
    <t>All IOU</t>
  </si>
  <si>
    <t>Final Proportions</t>
  </si>
  <si>
    <t>SE</t>
  </si>
  <si>
    <t>UEC</t>
  </si>
  <si>
    <t>NAECA 2011 Shipment Weighted Energy Consumption</t>
  </si>
  <si>
    <t xml:space="preserve">NAECA 2011 Shipment Weighted Energy Consumption
</t>
  </si>
  <si>
    <t>Gross Equipment UEC: SCE Refrigerators</t>
  </si>
  <si>
    <t>Gross Equipment UEC: SDG&amp;E Refrigerators</t>
  </si>
  <si>
    <t>Gross Equipment UEC: PG&amp;E Refrigerators</t>
  </si>
  <si>
    <t>Program Units Viable on the "Free Unit" Secondhand Market (&lt;= 10 yrs)</t>
  </si>
  <si>
    <t>Program Units Viable on the "Purchased Unit" Secondhand Market (&lt; 10 yrs)</t>
  </si>
  <si>
    <t>Gross Equipment UEC For Alternative Scenarios</t>
  </si>
  <si>
    <t>Free</t>
  </si>
  <si>
    <t>[653, 1126]</t>
  </si>
  <si>
    <t>[564, 1019]</t>
  </si>
  <si>
    <t>[500, 1000]</t>
  </si>
  <si>
    <t>[547, 1016]</t>
  </si>
  <si>
    <t>[592, 1147]</t>
  </si>
  <si>
    <t>[390, 995]</t>
  </si>
  <si>
    <t>[452, 1035]</t>
  </si>
  <si>
    <t>Transfer Alternative</t>
  </si>
  <si>
    <t>Similar “Free” Used Unit (≤ 10 yrs)</t>
  </si>
  <si>
    <t>Similar "Purchased Unit" (&lt; 10 yrs)</t>
  </si>
  <si>
    <t>New Unit**</t>
  </si>
  <si>
    <t>Freezers (All IOU)</t>
  </si>
  <si>
    <t>Annual Volume of Used Refrigerators/Freezers</t>
  </si>
  <si>
    <t>Proportions to Final Destinations,  percent</t>
  </si>
  <si>
    <t>Volume</t>
  </si>
  <si>
    <t>Proportion</t>
  </si>
  <si>
    <t>Commercial Users</t>
  </si>
  <si>
    <t>Others*</t>
  </si>
  <si>
    <t>Recycled/Destroyed</t>
  </si>
  <si>
    <t>Final Destinations of Used Units Leaving “Retail” Market</t>
  </si>
  <si>
    <t>90% CI Lower</t>
  </si>
  <si>
    <t>90% CI Upper</t>
  </si>
  <si>
    <t>Transferred, acquired as a primary unit</t>
  </si>
  <si>
    <t>Transferred, acquired as a secondary unit</t>
  </si>
  <si>
    <t>Part-use Factor</t>
  </si>
  <si>
    <t>Gross Part-Use Adjusted UEC</t>
  </si>
  <si>
    <t>IOU full year UEC</t>
  </si>
  <si>
    <t>Transfer Scenario</t>
  </si>
  <si>
    <t>Measure</t>
  </si>
  <si>
    <t>Units</t>
  </si>
  <si>
    <t>Room AC</t>
  </si>
  <si>
    <t>**</t>
  </si>
  <si>
    <t>** Energy savings claim for SDGE Room AC measure is 140,058 Therms.</t>
  </si>
  <si>
    <t>Ex Ante Energy Savings  (kWh)</t>
  </si>
  <si>
    <t>Ex Post Gross Energy Savings  (kWh)</t>
  </si>
  <si>
    <t>Ex Post Net Energy Savings  (kWh)</t>
  </si>
  <si>
    <t>Transferred</t>
  </si>
  <si>
    <t>Peer-to-Peer</t>
  </si>
  <si>
    <t>Primary Unit</t>
  </si>
  <si>
    <t>Secondary Unit</t>
  </si>
  <si>
    <t>Replaced by similar free unit</t>
  </si>
  <si>
    <t>Replaced by similar purchased unit</t>
  </si>
  <si>
    <t>Replaced by new unit</t>
  </si>
  <si>
    <t>Not replaced</t>
  </si>
  <si>
    <t>Individual</t>
  </si>
  <si>
    <t>Units purchased to install in rental units</t>
  </si>
  <si>
    <t>Commercial spaces</t>
  </si>
  <si>
    <t>Proportional Gross Unit Savings</t>
  </si>
  <si>
    <t>Proportional Net Unit Savings</t>
  </si>
  <si>
    <t>All IOUs Freezers</t>
  </si>
  <si>
    <t>Claimied Units</t>
  </si>
  <si>
    <t>Verification Rate (%)</t>
  </si>
  <si>
    <t>Verified Units</t>
  </si>
  <si>
    <t xml:space="preserve"> Refrigerator</t>
  </si>
  <si>
    <t xml:space="preserve"> Freezer</t>
  </si>
  <si>
    <t>Claimed Units</t>
  </si>
  <si>
    <t>NTGR</t>
  </si>
  <si>
    <t>ex ante</t>
  </si>
  <si>
    <t>ex post</t>
  </si>
  <si>
    <t>Realization rate</t>
  </si>
  <si>
    <t>IOUNTGRkWh</t>
  </si>
  <si>
    <t>Mean IOUntgrKwh</t>
  </si>
  <si>
    <t>Evaluation Result</t>
  </si>
  <si>
    <t>per unit UEC</t>
  </si>
  <si>
    <t>freezer</t>
  </si>
  <si>
    <t>sce</t>
  </si>
  <si>
    <t>sdge</t>
  </si>
  <si>
    <t>measure</t>
  </si>
  <si>
    <t>pge</t>
  </si>
  <si>
    <t>RoomAC</t>
  </si>
  <si>
    <t>ex ante mean UEC</t>
  </si>
  <si>
    <t>ex post per unit UEC</t>
  </si>
  <si>
    <t>all IOU UEC</t>
  </si>
  <si>
    <t>PDD</t>
  </si>
  <si>
    <t>Transfer P2P</t>
  </si>
  <si>
    <t>Transfer Ret</t>
  </si>
  <si>
    <t>SecMkt DD</t>
  </si>
  <si>
    <t>ALL IOU</t>
  </si>
  <si>
    <t xml:space="preserve">Freezers </t>
  </si>
  <si>
    <t>Removed by ARP</t>
  </si>
  <si>
    <t>Second-hand Market Volume</t>
  </si>
  <si>
    <t>% Distribution in Sec. Mkt (excluding ARP)</t>
  </si>
  <si>
    <t>% Distribution in Sec. Mkt (including ARP)</t>
  </si>
  <si>
    <t>Removed by Statewide ARP Program</t>
  </si>
  <si>
    <t>Collapsed =&gt;</t>
  </si>
  <si>
    <t>Room Air Conditioner</t>
  </si>
  <si>
    <t>Gross per unit UEC</t>
  </si>
  <si>
    <t>Net</t>
  </si>
  <si>
    <t>GrossSavkW</t>
  </si>
  <si>
    <t>GrossSavTherms</t>
  </si>
  <si>
    <t>Peak demand Ratio (kw/kwh)</t>
  </si>
  <si>
    <t>All Ref</t>
  </si>
  <si>
    <t>EDFilledUESTherms</t>
  </si>
  <si>
    <t>Gross Demand Savings</t>
  </si>
  <si>
    <t>Net Unit Energy Savings</t>
  </si>
  <si>
    <t>Net Demand Savings</t>
  </si>
  <si>
    <t>Interactive Effects Ratio (Therm/kwh)</t>
  </si>
  <si>
    <t>Gross Interactive Effects</t>
  </si>
  <si>
    <t>Net Interactive Effects</t>
  </si>
  <si>
    <t>Per Unit Peak Demand Table</t>
  </si>
  <si>
    <t>Per Unit Interactive Effects Table</t>
  </si>
  <si>
    <t>Freezer Gross and Net kWh Impacts</t>
  </si>
  <si>
    <t>Freezer Gross and Net kW Impacts</t>
  </si>
  <si>
    <t>Net demand Savings</t>
  </si>
  <si>
    <t>Gross therms</t>
  </si>
  <si>
    <t>Net therms</t>
  </si>
  <si>
    <t>Freezer  interactive Effects</t>
  </si>
  <si>
    <t xml:space="preserve"> Source: AHAM, Energy Efficiency and Consumption Trends 2012, adjusted by factor for the fact that new units don't perform as rated on the label in the home.</t>
  </si>
  <si>
    <t>RSS feeds</t>
  </si>
  <si>
    <t>RSS Sampled feeds</t>
  </si>
  <si>
    <t>Qualifying feeds</t>
  </si>
  <si>
    <t>Dealer</t>
  </si>
  <si>
    <t>Qualifying P2P rate (% of sampled )</t>
  </si>
  <si>
    <t>=P2P/SampledFeeds</t>
  </si>
  <si>
    <t>=45% of 400,000</t>
  </si>
  <si>
    <t>Craigslist pop calcs</t>
  </si>
  <si>
    <t>IOU to Census Ratio</t>
  </si>
  <si>
    <t xml:space="preserve">   Total </t>
  </si>
  <si>
    <t xml:space="preserve">2010 IOU pop of housing units with individually-metered electric meters: </t>
  </si>
  <si>
    <t>Total CA Housing Units - Mobile homes, Boats, etc., and 10+ units</t>
  </si>
  <si>
    <t>+/-0.1</t>
  </si>
  <si>
    <t>+/-2,012</t>
  </si>
  <si>
    <t>  Boat, RV, van, etc.</t>
  </si>
  <si>
    <t>+/-10,718</t>
  </si>
  <si>
    <t>  Mobile home</t>
  </si>
  <si>
    <t>+/-15,762</t>
  </si>
  <si>
    <t>  20 or more units</t>
  </si>
  <si>
    <t>+/-14,329</t>
  </si>
  <si>
    <t>  10 to 19 units</t>
  </si>
  <si>
    <t>+/-13,747</t>
  </si>
  <si>
    <t>  5 to 9 units</t>
  </si>
  <si>
    <t>+/-14,387</t>
  </si>
  <si>
    <t>  3 or 4 units</t>
  </si>
  <si>
    <t>+/-9,639</t>
  </si>
  <si>
    <t>  2 units</t>
  </si>
  <si>
    <t>+/-13,725</t>
  </si>
  <si>
    <t>  1-unit, attached</t>
  </si>
  <si>
    <t>+/-0.2</t>
  </si>
  <si>
    <t>+/-23,514</t>
  </si>
  <si>
    <t>  1-unit, detached</t>
  </si>
  <si>
    <t>(X)</t>
  </si>
  <si>
    <t>+/-1,131</t>
  </si>
  <si>
    <t>    Total housing units</t>
  </si>
  <si>
    <t>UNITS IN STRUCTURE</t>
  </si>
  <si>
    <r>
      <t xml:space="preserve">Note that the ACS includes housing units with master meters, which are excluded from the CLASS pop. 
Also, I believe that the IOU pop may also exclude boats, RVs and vans that are not connected to the grid. </t>
    </r>
    <r>
      <rPr>
        <sz val="11"/>
        <color rgb="FF1F497D"/>
        <rFont val="Wingdings"/>
        <charset val="2"/>
      </rPr>
      <t>J</t>
    </r>
    <r>
      <rPr>
        <sz val="11"/>
        <color rgb="FF1F497D"/>
        <rFont val="Calibri"/>
        <family val="2"/>
      </rPr>
      <t xml:space="preserve"> (these may be connected to electric service at a campground or something, that would be in the commercial sector).</t>
    </r>
  </si>
  <si>
    <t>Sec Mkt Volume to Individuals</t>
  </si>
  <si>
    <t>dealer</t>
  </si>
  <si>
    <t>Used Unit Acquirers… if purchased from craigslist, did they purchase from dealer or individual</t>
  </si>
  <si>
    <t>IOU Territory</t>
  </si>
  <si>
    <t>Expand to CA</t>
  </si>
  <si>
    <t>Sec Mkt Volume to Rental</t>
  </si>
  <si>
    <t>Destroyed by Sec Mkt</t>
  </si>
  <si>
    <t>proc freq data=Acquired_ref_frz; tables aq7; weight acquirer_weight;  run;</t>
  </si>
  <si>
    <t>/*</t>
  </si>
  <si>
    <t>From a person you knew (family / friend / neighbor)</t>
  </si>
  <si>
    <t>From Craigslist / newspaper ad / email forum</t>
  </si>
  <si>
    <t>From a used appliance dealer</t>
  </si>
  <si>
    <t>4 = already in residence</t>
  </si>
  <si>
    <t>5 = new unit   - these responses were deleted</t>
  </si>
  <si>
    <t>6 = program provided unit (e.g. LI)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</si>
  <si>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</si>
  <si>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The FREQ Procedure                                                                                                                                                                                                                                              </t>
  </si>
  <si>
    <t>Used Unit Acquirers…where did they get unit (used to estimate the size of the non-craigslist P2P</t>
  </si>
  <si>
    <t>aq7</t>
  </si>
  <si>
    <t>ƒƒƒ</t>
  </si>
  <si>
    <t>ƒƒƒƒƒƒƒ</t>
  </si>
  <si>
    <t>Peer to Peer Transfers</t>
  </si>
  <si>
    <t>All Transfers</t>
  </si>
  <si>
    <t>Sec Mkt Volume to Commercial</t>
  </si>
  <si>
    <t>Sec Mkt Volume to Other</t>
  </si>
  <si>
    <t>Removed by Statewide ARP</t>
  </si>
  <si>
    <t>Assume 75% Transfer</t>
  </si>
  <si>
    <t>Total Estimated Units</t>
  </si>
  <si>
    <t>Estimated Units Remaining on the Grid</t>
  </si>
  <si>
    <t>Qualifying P2P Craigslist posts</t>
  </si>
  <si>
    <t>Annual  qualifying P2P craigslist posts</t>
  </si>
  <si>
    <t>expands from 10 months to 12 months.</t>
  </si>
  <si>
    <t>=75% of 215,893</t>
  </si>
  <si>
    <t xml:space="preserve">Estimated Full P2P Pop </t>
  </si>
  <si>
    <r>
      <t>In situ</t>
    </r>
    <r>
      <rPr>
        <b/>
        <sz val="10"/>
        <color rgb="FFFFFFFF"/>
        <rFont val="Verdana"/>
        <family val="2"/>
      </rPr>
      <t xml:space="preserve"> UEC</t>
    </r>
  </si>
  <si>
    <t>[1713, 1942]</t>
  </si>
  <si>
    <t>[1574, 1803]</t>
  </si>
  <si>
    <t>[1195, 1439]</t>
  </si>
  <si>
    <t>[1550, 1777]</t>
  </si>
  <si>
    <t>[1675, 2081]</t>
  </si>
  <si>
    <t>[1244, 1658]</t>
  </si>
  <si>
    <t>[1147, 1594]</t>
  </si>
  <si>
    <t>[1358, 1765]</t>
  </si>
  <si>
    <t>Destroyed Unit</t>
  </si>
  <si>
    <t xml:space="preserve"> mean UEC of units not included in prior subsets</t>
  </si>
  <si>
    <t>Kept existing Unit</t>
  </si>
  <si>
    <t>Kept existing unit</t>
  </si>
  <si>
    <t>Destroyed</t>
  </si>
  <si>
    <t>destroyed</t>
  </si>
  <si>
    <t>Peer-to-Peer transfers</t>
  </si>
  <si>
    <t>Retail Channel Transfer</t>
  </si>
  <si>
    <t>Total Sec. Mkt</t>
  </si>
  <si>
    <t>channel=P2P</t>
  </si>
  <si>
    <t>Add</t>
  </si>
  <si>
    <t>Rep</t>
  </si>
  <si>
    <t>Increment</t>
  </si>
  <si>
    <t>channel=Ret</t>
  </si>
  <si>
    <t>Whether acquirers of used units for primary are replacing an existing unit, or adding another unit to the house (move old primary to secondary role)</t>
  </si>
  <si>
    <t>Unit was replacing existing or adding a unit to the house</t>
  </si>
  <si>
    <t>Adding a unit</t>
  </si>
  <si>
    <t>Replacing existing</t>
  </si>
  <si>
    <t>Kept existing</t>
  </si>
  <si>
    <t>Add a new unit</t>
  </si>
  <si>
    <t>Units in Disposition Path</t>
  </si>
  <si>
    <t>Full-year Consumption</t>
  </si>
  <si>
    <t>Baseline Usage Factor</t>
  </si>
  <si>
    <t>Program-alternative Full-year Consumption</t>
  </si>
  <si>
    <t>Program-alternative UEC (part use adjusted)</t>
  </si>
  <si>
    <t xml:space="preserve">Gross Savings </t>
  </si>
  <si>
    <t xml:space="preserve">Net Savings </t>
  </si>
  <si>
    <t>Disposition Path</t>
  </si>
  <si>
    <t>(A)</t>
  </si>
  <si>
    <t>(B)</t>
  </si>
  <si>
    <t>(C)</t>
  </si>
  <si>
    <t>(D= (B*C))</t>
  </si>
  <si>
    <t>(E)</t>
  </si>
  <si>
    <t>(F)</t>
  </si>
  <si>
    <t>(G= (E*F))</t>
  </si>
  <si>
    <t>(H=   (D-G))</t>
  </si>
  <si>
    <t>Proportion of Program Units in Disposition Path</t>
  </si>
  <si>
    <t>Baseline UEC (part-use adjusted)</t>
  </si>
  <si>
    <t xml:space="preserve">Program-alternative Usage Factor </t>
  </si>
  <si>
    <t>Gross Unit Energy Savings, kWh</t>
  </si>
  <si>
    <t>Table 43</t>
  </si>
  <si>
    <t>Weighted Average</t>
  </si>
  <si>
    <t>Table 44</t>
  </si>
  <si>
    <t>Table 45</t>
  </si>
  <si>
    <t>Proportionally Weighted Gross Unit Savings</t>
  </si>
  <si>
    <t>Proportionally Weighted Net Unit Savings</t>
  </si>
  <si>
    <t>E= (B*A)</t>
  </si>
  <si>
    <t>F= (D*A)</t>
  </si>
  <si>
    <t>D= (B*(1-C))</t>
  </si>
  <si>
    <t>Weighted Program Average</t>
  </si>
  <si>
    <t>Net-to-Gross Ratio (NTGR)</t>
  </si>
  <si>
    <t>Table 48</t>
  </si>
  <si>
    <t>Table 49</t>
  </si>
  <si>
    <t>Table 50</t>
  </si>
  <si>
    <t>Table 47: Per Unit Gross Savings by IOUs</t>
  </si>
  <si>
    <t>SE of Aggregate Gross Unit Savings</t>
  </si>
  <si>
    <r>
      <t xml:space="preserve">Table 52: Summary of </t>
    </r>
    <r>
      <rPr>
        <b/>
        <i/>
        <sz val="11"/>
        <color theme="1"/>
        <rFont val="Georgia"/>
        <family val="1"/>
      </rPr>
      <t>Ex Post</t>
    </r>
    <r>
      <rPr>
        <b/>
        <sz val="11"/>
        <color theme="1"/>
        <rFont val="Georgia"/>
        <family val="1"/>
      </rPr>
      <t xml:space="preserve"> per Unit Gross and Net Savings</t>
    </r>
  </si>
  <si>
    <t>Table 53: Per Unit Peak Demand Savings by IOU</t>
  </si>
  <si>
    <t>Table 39: Proportion of Refrigerators by Disposition Path</t>
  </si>
  <si>
    <t>Table 63: Refrigerator Gross and Net Impacts - kWh</t>
  </si>
  <si>
    <t>Table 65: Refrigerator Gross and Net Demand Impacts - kW</t>
  </si>
  <si>
    <t>Table 67: Refrigerator Gross and Net Interactive Effects</t>
  </si>
  <si>
    <r>
      <t xml:space="preserve">Ex Ante </t>
    </r>
    <r>
      <rPr>
        <b/>
        <sz val="9"/>
        <color rgb="FFFFFFFF"/>
        <rFont val="Verdana"/>
        <family val="2"/>
      </rPr>
      <t>Gross Unit Savings</t>
    </r>
  </si>
  <si>
    <r>
      <t xml:space="preserve">Ex Post </t>
    </r>
    <r>
      <rPr>
        <b/>
        <sz val="9"/>
        <color rgb="FFFFFFFF"/>
        <rFont val="Verdana"/>
        <family val="2"/>
      </rPr>
      <t>Gross Unit Savings</t>
    </r>
  </si>
  <si>
    <r>
      <t xml:space="preserve">Ex Ante </t>
    </r>
    <r>
      <rPr>
        <b/>
        <sz val="9"/>
        <color rgb="FFFFFFFF"/>
        <rFont val="Verdana"/>
        <family val="2"/>
      </rPr>
      <t>Net Unit Savings</t>
    </r>
  </si>
  <si>
    <r>
      <t xml:space="preserve">Ex Post </t>
    </r>
    <r>
      <rPr>
        <b/>
        <sz val="9"/>
        <color rgb="FFFFFFFF"/>
        <rFont val="Verdana"/>
        <family val="2"/>
      </rPr>
      <t>Net Unit Savings</t>
    </r>
  </si>
  <si>
    <r>
      <t xml:space="preserve">Table 69: Comparison of </t>
    </r>
    <r>
      <rPr>
        <b/>
        <i/>
        <sz val="11"/>
        <color theme="1"/>
        <rFont val="Georgia"/>
        <family val="1"/>
      </rPr>
      <t xml:space="preserve">Ex Ante </t>
    </r>
    <r>
      <rPr>
        <b/>
        <sz val="11"/>
        <color theme="1"/>
        <rFont val="Georgia"/>
        <family val="1"/>
      </rPr>
      <t xml:space="preserve">and </t>
    </r>
    <r>
      <rPr>
        <b/>
        <i/>
        <sz val="11"/>
        <color theme="1"/>
        <rFont val="Georgia"/>
        <family val="1"/>
      </rPr>
      <t>Ex Post</t>
    </r>
    <r>
      <rPr>
        <b/>
        <sz val="11"/>
        <color theme="1"/>
        <rFont val="Georgia"/>
        <family val="1"/>
      </rPr>
      <t xml:space="preserve"> per Unit Gross and Net Savings</t>
    </r>
  </si>
  <si>
    <t>Table 2: Gross and Net Unit Savings with Net-to-Gross Ratio</t>
  </si>
  <si>
    <t>Lower CI of Gross Unit Savings</t>
  </si>
  <si>
    <t>Upper CI of Gross Unit Savings</t>
  </si>
  <si>
    <t>Lower CI of Net Unit Savings</t>
  </si>
  <si>
    <t>Upper CI of Net Unit Savings</t>
  </si>
  <si>
    <t>Lower CI of NTG Ratio</t>
  </si>
  <si>
    <t>Upper CI of NTG Ratio</t>
  </si>
  <si>
    <r>
      <rPr>
        <b/>
        <i/>
        <sz val="10"/>
        <color rgb="FFFFFFFF"/>
        <rFont val="Verdana"/>
        <family val="2"/>
      </rPr>
      <t xml:space="preserve">Ex Post </t>
    </r>
    <r>
      <rPr>
        <b/>
        <sz val="10"/>
        <color rgb="FFFFFFFF"/>
        <rFont val="Verdana"/>
        <family val="2"/>
      </rPr>
      <t>Gross Unit Savings</t>
    </r>
  </si>
  <si>
    <t>iou=SDGE</t>
  </si>
  <si>
    <t>Frequency Missing = 7</t>
  </si>
  <si>
    <t>Primary/Secondary Refrigerator Breakdown--All IOU P2P</t>
  </si>
  <si>
    <t>Table of Acq_Action</t>
  </si>
  <si>
    <t>Acq_Action</t>
  </si>
  <si>
    <t>New</t>
  </si>
  <si>
    <t>None</t>
  </si>
  <si>
    <t>Used</t>
  </si>
  <si>
    <t>All IOUs, Primary Refrigerators</t>
  </si>
  <si>
    <t>Frequency Missing = 17</t>
  </si>
  <si>
    <t>All IOUs, Secondary Refrigerators</t>
  </si>
  <si>
    <t>Grey = not used</t>
  </si>
  <si>
    <t>Frequency Missing = 9</t>
  </si>
  <si>
    <t>Frequency Missing = 10</t>
  </si>
  <si>
    <t>Acquirers - where did transferred units go</t>
  </si>
  <si>
    <t>Discarder</t>
  </si>
  <si>
    <t>Table of channel</t>
  </si>
  <si>
    <t>from the secondary market we know that 48% are destroyed by retailers</t>
  </si>
  <si>
    <t>Discarder Destroy</t>
  </si>
  <si>
    <t>Retail Destroy</t>
  </si>
  <si>
    <t>Discarder %s</t>
  </si>
  <si>
    <t>Acquirer survey, respondents received units from:</t>
  </si>
  <si>
    <t>Path</t>
  </si>
  <si>
    <t>Acquirer%</t>
  </si>
  <si>
    <t>Retail Tranfer</t>
  </si>
  <si>
    <t>Discarders, looking only at transferred units, what's the %</t>
  </si>
  <si>
    <t>Calculate a mean transfer % for each channel, combining the acquirers and discarder responses.</t>
  </si>
  <si>
    <t>n</t>
  </si>
  <si>
    <t>EQ1:</t>
  </si>
  <si>
    <t>P+R=.78</t>
  </si>
  <si>
    <t>Total in circulation = 1 - discarder destroy</t>
  </si>
  <si>
    <t>EQ2:</t>
  </si>
  <si>
    <t>Retail keep = 1 - retailer destroy</t>
  </si>
  <si>
    <t>Sub for P in EQ1:</t>
  </si>
  <si>
    <t xml:space="preserve">And from EQ1: </t>
  </si>
  <si>
    <t>P=.78-R</t>
  </si>
  <si>
    <t>Check</t>
  </si>
  <si>
    <t>P2P in circulation</t>
  </si>
  <si>
    <t>Retail in circulation</t>
  </si>
  <si>
    <t>From Fred…. How to calculate the percentages going into the distribution paths. This is used to adjust the % for Discarder to P2P and Discarder to Retail to correspond with our new mean percentages from Acquirer/Discarder outcomes</t>
  </si>
  <si>
    <t>Total going back on Grid</t>
  </si>
  <si>
    <t>P2P share (of units remaining in circulation)</t>
  </si>
  <si>
    <t>Retail share (of units remaining in circulation)</t>
  </si>
  <si>
    <t xml:space="preserve"> --------------------&gt;     Total P2P percentage</t>
  </si>
  <si>
    <t>Discarders - where did transferred units go (NOTE: this is all units, REF AND FRZ, not REF only)</t>
  </si>
  <si>
    <t>=F118/((F121*(F119/F120)) +1)</t>
  </si>
  <si>
    <t>Recycled or Destroyed by Retail Market Actor</t>
  </si>
  <si>
    <t>Table of Increment</t>
  </si>
  <si>
    <t>Unit would have been replacing existing or adding a unit to the house</t>
  </si>
  <si>
    <t>If cell is blank, it is because the value in column AH is assumed to be a constant, and therefor has no associated Std. Error</t>
  </si>
  <si>
    <t>Statewide Proportions</t>
  </si>
  <si>
    <t>Table 1: Claimed vs. Verified Quantities by Measure and IOU</t>
  </si>
  <si>
    <t>Table 3: Refrigerator Gross and Net Impacts - kWh</t>
  </si>
  <si>
    <t>Totals</t>
  </si>
  <si>
    <t>Table 4: Freezer Gross and Net Impacts - kWh</t>
  </si>
  <si>
    <t>RAW TABLES --&gt;</t>
  </si>
  <si>
    <t>Table 5: Refrigerator Gross and Net Demand Impacts - kW</t>
  </si>
  <si>
    <t>Realization Rate</t>
  </si>
  <si>
    <t>Statewide</t>
  </si>
  <si>
    <t>Table 64: Freezer Gross and Net Impacts - kWh</t>
  </si>
  <si>
    <t>Table 6: Freezer Gross and Net Demand Impacts - kW</t>
  </si>
  <si>
    <t>Table 66: Freezer Gross and Net Demand Impacts - kW</t>
  </si>
  <si>
    <t>Table 7: Refrigerator Gross and Net Interactive Effects</t>
  </si>
  <si>
    <t>Table 8: Freezer Gross and Net Interactive Effects</t>
  </si>
  <si>
    <t>Table 68: Freezer Gross and Net Interactive Effects</t>
  </si>
  <si>
    <t>Energy Savings Claims (kWh)</t>
  </si>
  <si>
    <t>Energy Demand Claims (kW)</t>
  </si>
  <si>
    <t>** Energy savings claim for SDG&amp;E Room AC measure is 140,058 therms.</t>
  </si>
  <si>
    <t>Table 9: Appliance Recycling 2010-2012 Energy and Demand Claims by IOU</t>
  </si>
  <si>
    <t>Unit Disposition</t>
  </si>
  <si>
    <t>Location</t>
  </si>
  <si>
    <t>Consumption Without Program (A)</t>
  </si>
  <si>
    <t>Consumption With</t>
  </si>
  <si>
    <t>Program (B)</t>
  </si>
  <si>
    <t>Gross Savings    (A-B)</t>
  </si>
  <si>
    <t>Kept In Use</t>
  </si>
  <si>
    <t>Participant Household</t>
  </si>
  <si>
    <t>UEC as secondary unit</t>
  </si>
  <si>
    <t>No consumption</t>
  </si>
  <si>
    <t>Kept Unused</t>
  </si>
  <si>
    <t>Participant</t>
  </si>
  <si>
    <t>Household</t>
  </si>
  <si>
    <t>No Consumption</t>
  </si>
  <si>
    <t>No Savings</t>
  </si>
  <si>
    <t>Transferred from Participant Household</t>
  </si>
  <si>
    <t>Transferee Household</t>
  </si>
  <si>
    <t>UEC as primary or secondary unit</t>
  </si>
  <si>
    <t>UEC as primary or secondary unit given removal of  program units</t>
  </si>
  <si>
    <r>
      <t>UEC</t>
    </r>
    <r>
      <rPr>
        <vertAlign val="subscript"/>
        <sz val="10"/>
        <color theme="1"/>
        <rFont val="Georgia"/>
        <family val="1"/>
      </rPr>
      <t>A</t>
    </r>
    <r>
      <rPr>
        <sz val="10"/>
        <color theme="1"/>
        <rFont val="Georgia"/>
        <family val="1"/>
      </rPr>
      <t xml:space="preserve"> – UEC</t>
    </r>
    <r>
      <rPr>
        <vertAlign val="subscript"/>
        <sz val="10"/>
        <color theme="1"/>
        <rFont val="Georgia"/>
        <family val="1"/>
      </rPr>
      <t>B</t>
    </r>
    <r>
      <rPr>
        <sz val="10"/>
        <color theme="1"/>
        <rFont val="Symbol"/>
        <family val="1"/>
        <charset val="2"/>
      </rPr>
      <t xml:space="preserve"> </t>
    </r>
  </si>
  <si>
    <t>Table 11: Simplified Net Savings Calculation</t>
  </si>
  <si>
    <t>Table 10: Simplified Gross Savings Calculation</t>
  </si>
  <si>
    <t>Gross Savings (A)</t>
  </si>
  <si>
    <t>Free-rider Status (B)</t>
  </si>
  <si>
    <t>Net Savings (A*B)</t>
  </si>
  <si>
    <t>Kept</t>
  </si>
  <si>
    <t>Not Free-rider NTGR = 1</t>
  </si>
  <si>
    <t>Transferred - destroyed</t>
  </si>
  <si>
    <t>Average Savings of all Transferred</t>
  </si>
  <si>
    <t>Yes</t>
  </si>
  <si>
    <t>NTGR =0</t>
  </si>
  <si>
    <t>Transferred -</t>
  </si>
  <si>
    <t>viable unit</t>
  </si>
  <si>
    <r>
      <t>D</t>
    </r>
    <r>
      <rPr>
        <sz val="10"/>
        <color rgb="FF333333"/>
        <rFont val="Georgia"/>
        <family val="1"/>
      </rPr>
      <t xml:space="preserve">  UEC as primary or secondary unit</t>
    </r>
  </si>
  <si>
    <t>Not Free-rider</t>
  </si>
  <si>
    <t>NTGR =1</t>
  </si>
  <si>
    <r>
      <t>D</t>
    </r>
    <r>
      <rPr>
        <sz val="10"/>
        <color rgb="FF333333"/>
        <rFont val="Georgia"/>
        <family val="1"/>
      </rPr>
      <t xml:space="preserve"> UEC as primary or secondary unit</t>
    </r>
  </si>
  <si>
    <t>Table 12: Data Sources Used for Analysis Component</t>
  </si>
  <si>
    <t>Data Source</t>
  </si>
  <si>
    <t>Unit disposition from Participant Household</t>
  </si>
  <si>
    <t>Disposition to Secondary Market</t>
  </si>
  <si>
    <t>Used-unit Acquirer Response</t>
  </si>
  <si>
    <t>Program UECs</t>
  </si>
  <si>
    <t>Program Alternative UECs</t>
  </si>
  <si>
    <t>Program Tracking Data</t>
  </si>
  <si>
    <t>●</t>
  </si>
  <si>
    <t>Non-participant Surveys</t>
  </si>
  <si>
    <t>Acquirer</t>
  </si>
  <si>
    <t>Secondary Market Study</t>
  </si>
  <si>
    <t>Retail Channel Interviews</t>
  </si>
  <si>
    <t>Peer-to-peer Channel Data</t>
  </si>
  <si>
    <t>Unit Metering</t>
  </si>
  <si>
    <r>
      <t>In Situ</t>
    </r>
    <r>
      <rPr>
        <b/>
        <sz val="10"/>
        <color rgb="FF002776"/>
        <rFont val="Georgia"/>
        <family val="1"/>
      </rPr>
      <t>, short-term metered sample of program units</t>
    </r>
  </si>
  <si>
    <r>
      <t>In Situ</t>
    </r>
    <r>
      <rPr>
        <b/>
        <sz val="10"/>
        <color rgb="FF002776"/>
        <rFont val="Georgia"/>
        <family val="1"/>
      </rPr>
      <t>, long-term metered sample</t>
    </r>
  </si>
  <si>
    <t>Laboratory metering of program units</t>
  </si>
  <si>
    <t>UEC Datasets</t>
  </si>
  <si>
    <t>New Unit UECs</t>
  </si>
  <si>
    <t>Description</t>
  </si>
  <si>
    <t>Targets</t>
  </si>
  <si>
    <t>Completes</t>
  </si>
  <si>
    <t>Grand Total</t>
  </si>
  <si>
    <t>Table 13: In Situ Short-Term Metering Sample</t>
  </si>
  <si>
    <t>Table 14:  Long-Term Metering In Situ Sample</t>
  </si>
  <si>
    <t>Metering Target</t>
  </si>
  <si>
    <t>Metering Completes</t>
  </si>
  <si>
    <t>Strata 1 and 2: Allocations by Age of Unit</t>
  </si>
  <si>
    <t>Unit Recycled</t>
  </si>
  <si>
    <t>Mfg. Year</t>
  </si>
  <si>
    <t>Participant Population</t>
  </si>
  <si>
    <t>Survey Targets</t>
  </si>
  <si>
    <t>Survey Completes</t>
  </si>
  <si>
    <t>Precision @ 90% CL</t>
  </si>
  <si>
    <t>One Refrigerator</t>
  </si>
  <si>
    <t>Pre-1980</t>
  </si>
  <si>
    <t>1981-1992</t>
  </si>
  <si>
    <t>1993-2000</t>
  </si>
  <si>
    <t>2001-2012</t>
  </si>
  <si>
    <r>
      <t> </t>
    </r>
    <r>
      <rPr>
        <b/>
        <sz val="10"/>
        <color rgb="FF000000"/>
        <rFont val="Georgia"/>
        <family val="1"/>
      </rPr>
      <t>Total</t>
    </r>
  </si>
  <si>
    <t>One Freezer</t>
  </si>
  <si>
    <t>Stratum 3: Allocations by the Greater of the Ages of Two Recycled Units</t>
  </si>
  <si>
    <t>Units Recycled</t>
  </si>
  <si>
    <t>Maximum Mfg. Year</t>
  </si>
  <si>
    <t>Two Units</t>
  </si>
  <si>
    <t>(could be any combination of refrigerators and/or freezers)</t>
  </si>
  <si>
    <t>Table 15: Population and Sample Allocation by Group and Vintage for PG&amp;E</t>
  </si>
  <si>
    <r>
      <t>Strata</t>
    </r>
    <r>
      <rPr>
        <b/>
        <sz val="9"/>
        <color rgb="FFFFFFFF"/>
        <rFont val="Verdana"/>
        <family val="2"/>
      </rPr>
      <t xml:space="preserve"> 1 and 2: Allocations by Age of Unit</t>
    </r>
  </si>
  <si>
    <r>
      <t> </t>
    </r>
    <r>
      <rPr>
        <b/>
        <sz val="10"/>
        <color rgb="FF000000"/>
        <rFont val="Georgia"/>
        <family val="1"/>
      </rPr>
      <t xml:space="preserve">Total </t>
    </r>
  </si>
  <si>
    <r>
      <t xml:space="preserve">Stratum 3: </t>
    </r>
    <r>
      <rPr>
        <b/>
        <sz val="10"/>
        <color rgb="FFFFFFFF"/>
        <rFont val="Verdana"/>
        <family val="2"/>
      </rPr>
      <t>Allocations</t>
    </r>
    <r>
      <rPr>
        <b/>
        <sz val="9"/>
        <color rgb="FFFFFFFF"/>
        <rFont val="Verdana"/>
        <family val="2"/>
      </rPr>
      <t xml:space="preserve"> by the Greater of the Ages of Two Recycled Units </t>
    </r>
  </si>
  <si>
    <t>Table 16: Population and Sample Allocation by Group and Vintage for SCE</t>
  </si>
  <si>
    <t>Table 17: Population and Sample Allocation by Group and Vintage for SDG&amp;E</t>
  </si>
  <si>
    <t>Strata 1 and 2  Allocations by Age of Unit</t>
  </si>
  <si>
    <t>Precision 
@ 90% CL</t>
  </si>
  <si>
    <t>Row Labels</t>
  </si>
  <si>
    <t>Count of CATISTRATA</t>
  </si>
  <si>
    <t>Stratum</t>
  </si>
  <si>
    <t>MfgYear</t>
  </si>
  <si>
    <t>Pop (participants)</t>
  </si>
  <si>
    <t>PGE101</t>
  </si>
  <si>
    <t>PGE102</t>
  </si>
  <si>
    <t>PGE103</t>
  </si>
  <si>
    <t>PGE104</t>
  </si>
  <si>
    <t>PGE201</t>
  </si>
  <si>
    <t>PGE202</t>
  </si>
  <si>
    <t>PGE203</t>
  </si>
  <si>
    <t>PG&amp;E Total</t>
  </si>
  <si>
    <t>PGE204</t>
  </si>
  <si>
    <t>PGE301</t>
  </si>
  <si>
    <t>PGE302</t>
  </si>
  <si>
    <t>PGE303</t>
  </si>
  <si>
    <t>SCE Total</t>
  </si>
  <si>
    <t>PGE304</t>
  </si>
  <si>
    <t>Strata 3 Allocations by MAX Age of two Units Recycled</t>
  </si>
  <si>
    <t>SCE101</t>
  </si>
  <si>
    <t>MAX MfgYear</t>
  </si>
  <si>
    <t>SCE102</t>
  </si>
  <si>
    <t>SCE103</t>
  </si>
  <si>
    <t>SDG&amp;E Total</t>
  </si>
  <si>
    <t>SCE104</t>
  </si>
  <si>
    <t>SCE201</t>
  </si>
  <si>
    <t>SCE202</t>
  </si>
  <si>
    <t>SCE203</t>
  </si>
  <si>
    <t>PG&amp;E Totals Across all Strata</t>
  </si>
  <si>
    <t>SCE204</t>
  </si>
  <si>
    <t>SCE301</t>
  </si>
  <si>
    <t>SCE302</t>
  </si>
  <si>
    <t>SCE303</t>
  </si>
  <si>
    <t>SCE304</t>
  </si>
  <si>
    <t>SDGE101</t>
  </si>
  <si>
    <t>SDGE102</t>
  </si>
  <si>
    <t>SDGE103</t>
  </si>
  <si>
    <t>SDGE104</t>
  </si>
  <si>
    <t>SDGE201</t>
  </si>
  <si>
    <t>SDGE202</t>
  </si>
  <si>
    <t>SDGE203</t>
  </si>
  <si>
    <t>SDGE204</t>
  </si>
  <si>
    <t>SDGE301</t>
  </si>
  <si>
    <t>SDGE302</t>
  </si>
  <si>
    <t>SDGE303</t>
  </si>
  <si>
    <t>SDGE304</t>
  </si>
  <si>
    <t>SCE Totals Across all Strata</t>
  </si>
  <si>
    <t>SDG&amp;E Totals Across all Strata</t>
  </si>
  <si>
    <t>Table 15: Participant Survey Sample Targets and Completes with Precision</t>
  </si>
  <si>
    <t>NOTE: THIS TABLE REPLACES TABLES 15-17 IN THE REPORT. THOSE TABLES SHOULD BE MOVED TO APPENDIX AND TEXT ADJUSTED TO REFLECT THAT CHANGE</t>
  </si>
  <si>
    <t>Total For Participant Survey</t>
  </si>
  <si>
    <t>Table 18: Non-Participant Sample Table</t>
  </si>
  <si>
    <t>Climate Zone Group</t>
  </si>
  <si>
    <t xml:space="preserve">Low Income </t>
  </si>
  <si>
    <t xml:space="preserve">Survey Target </t>
  </si>
  <si>
    <t>Acquirer Completes</t>
  </si>
  <si>
    <t>Discarder Completes</t>
  </si>
  <si>
    <t>Inland</t>
  </si>
  <si>
    <t>no</t>
  </si>
  <si>
    <t>yes</t>
  </si>
  <si>
    <t>Mild</t>
  </si>
  <si>
    <t>All PG&amp;E</t>
  </si>
  <si>
    <t>All SCE</t>
  </si>
  <si>
    <t>All SDG&amp;E</t>
  </si>
  <si>
    <r>
      <t>Overall</t>
    </r>
    <r>
      <rPr>
        <b/>
        <sz val="10"/>
        <color rgb="FF000000"/>
        <rFont val="Georgia"/>
        <family val="1"/>
      </rPr>
      <t> </t>
    </r>
  </si>
  <si>
    <t>Table Changed - NEEDS Review then Updating in Report</t>
  </si>
  <si>
    <t>Interactive Effects (therms)</t>
  </si>
  <si>
    <t>Table 19. Sample of Secondary Market Actor Interviews in IOU Territories</t>
  </si>
  <si>
    <t>1. Incoming-Outgoing Volumes by Market Actor v4.xlsx</t>
  </si>
  <si>
    <t>G:\Projects\CPUC - 2010-2012 EM&amp;V\1_WO Folders\KEMA035 - Impact - Appliance Recycling\Reporting\FOR FUTURE-Delivery of Data\Retail Market Actor Analyses\1. Incoming-Outgoing Volumes by Market Actor v4.xlsx</t>
  </si>
  <si>
    <t>Our records show that you had ANSWERFROM(VPULL) picked up for recycling during ANSWERFROM(YEAR1) Is that correct? (DO NOT READ)</t>
  </si>
  <si>
    <t>Frequency Count</t>
  </si>
  <si>
    <t>Percent of Total Frequency</t>
  </si>
  <si>
    <t>UTILITY</t>
  </si>
  <si>
    <t>APPLIANCEVAR1</t>
  </si>
  <si>
    <t xml:space="preserve">PGE </t>
  </si>
  <si>
    <t xml:space="preserve">Freezer </t>
  </si>
  <si>
    <t xml:space="preserve">Refrigerator </t>
  </si>
  <si>
    <t xml:space="preserve">SCE </t>
  </si>
  <si>
    <t xml:space="preserve">SDGE </t>
  </si>
  <si>
    <t>Tables for Report Below                                   Tables for Report Below                                   Tables for Report Below                                   Tables for Report Below</t>
  </si>
  <si>
    <t>Correct Number of Appliances</t>
  </si>
  <si>
    <t>Year</t>
  </si>
  <si>
    <t>utility tracking data count</t>
  </si>
  <si>
    <t>Claimed</t>
  </si>
  <si>
    <t>Verified</t>
  </si>
  <si>
    <t>VR%</t>
  </si>
  <si>
    <t>Table of claimed_ref</t>
  </si>
  <si>
    <t>Sample</t>
  </si>
  <si>
    <t>claimed_ref</t>
  </si>
  <si>
    <t>VR %</t>
  </si>
  <si>
    <t>Weighted to Pop</t>
  </si>
  <si>
    <t xml:space="preserve">Refrigerators </t>
  </si>
  <si>
    <t>posts/year</t>
  </si>
  <si>
    <t>PopWeight</t>
  </si>
  <si>
    <t>sampled</t>
  </si>
  <si>
    <t>qualified</t>
  </si>
  <si>
    <t>ask claire what percentage</t>
  </si>
  <si>
    <t>Sample Size = 1102</t>
  </si>
  <si>
    <t>Table of verified_ref</t>
  </si>
  <si>
    <t>verified_ref</t>
  </si>
  <si>
    <t>Table of claimed_frz</t>
  </si>
  <si>
    <t>claimed_frz</t>
  </si>
  <si>
    <t>Table of verified_frz</t>
  </si>
  <si>
    <t>verified_frz</t>
  </si>
  <si>
    <t>utility=PGE</t>
  </si>
  <si>
    <t>Appliance</t>
  </si>
  <si>
    <t>utility=SCE</t>
  </si>
  <si>
    <t>utility=SDGE</t>
  </si>
  <si>
    <t>Gross Precision at 90% Confidence Level</t>
  </si>
  <si>
    <t>Net Precision at 90% Confidence Level</t>
  </si>
  <si>
    <t>Table 22: Non-Participant Discarder Disposal Decisions</t>
  </si>
  <si>
    <t>Final Destinations of Used Units Returned to Users by Retail Channel of Secondary Market, (n=42)</t>
  </si>
  <si>
    <t>Standard Error</t>
  </si>
  <si>
    <t>Overall Relative Precision</t>
  </si>
  <si>
    <t>Table 20: Participant Decisions in the Absence of the Program</t>
  </si>
  <si>
    <t>Decision</t>
  </si>
  <si>
    <t>Table 23: Proportion of Units Returned to Users from Retail Channel, in IOU Territories</t>
  </si>
  <si>
    <t xml:space="preserve">            28,135 </t>
  </si>
  <si>
    <t xml:space="preserve">              1,244 </t>
  </si>
  <si>
    <t xml:space="preserve">                 725 </t>
  </si>
  <si>
    <t xml:space="preserve">                77 </t>
  </si>
  <si>
    <t xml:space="preserve">            1,260 </t>
  </si>
  <si>
    <t xml:space="preserve">          28,200 </t>
  </si>
  <si>
    <t>Standard Error (units)</t>
  </si>
  <si>
    <t>Standard Error (%)</t>
  </si>
  <si>
    <t>Action</t>
  </si>
  <si>
    <t>Destination</t>
  </si>
  <si>
    <t>Usage</t>
  </si>
  <si>
    <t>below is the equation used in Cell F126</t>
  </si>
  <si>
    <t>Usage in household</t>
  </si>
  <si>
    <t>Action if Acquired Unit Was Unavailable</t>
  </si>
  <si>
    <t>No unit acquired</t>
  </si>
  <si>
    <t>Kept Existing Unit</t>
  </si>
  <si>
    <t>Final Proportion</t>
  </si>
  <si>
    <t>Acquired Unit was…</t>
  </si>
  <si>
    <t>Not purchased a  unit</t>
  </si>
  <si>
    <t xml:space="preserve">Table 24: Acquirer Usage and Counterfactual </t>
  </si>
  <si>
    <t>Transfer Channel</t>
  </si>
  <si>
    <t>Table 25: Acquirer Usage and Counterfactual from Retail Transfers</t>
  </si>
  <si>
    <t>&lt;this table eliminated&gt;</t>
  </si>
  <si>
    <t>Table 26: Disposition path Decision Tree</t>
  </si>
  <si>
    <t>&lt;= first part of table below</t>
  </si>
  <si>
    <t>Table 27: Mean Age of Used Units Acquired by Non-Participants</t>
  </si>
  <si>
    <t>&lt;no change&gt;</t>
  </si>
  <si>
    <t>Table 28: Cut-off Age for Viable Program units in the Second-hand Market</t>
  </si>
  <si>
    <t>Table 29: Claimed vs. Verified Quantities by Measure and IOU</t>
  </si>
  <si>
    <t>&lt;== this table also updates ==&gt;</t>
  </si>
  <si>
    <t>&lt;see table 1 above&gt;</t>
  </si>
  <si>
    <t xml:space="preserve">Table 30-34 </t>
  </si>
  <si>
    <t>no change</t>
  </si>
  <si>
    <t>changed in report</t>
  </si>
  <si>
    <t>Table 35 &amp; 36</t>
  </si>
  <si>
    <t>Table 37 &amp; 38</t>
  </si>
  <si>
    <t>&lt;= Full table including SE and n</t>
  </si>
  <si>
    <t>&lt;see table 26 above&gt;</t>
  </si>
  <si>
    <t>Table 41: Full Year Average UEC for Alternative Disposition Paths</t>
  </si>
  <si>
    <t>Unit</t>
  </si>
  <si>
    <t>Purchased Nothing</t>
  </si>
  <si>
    <t>Similar “Free” Used Unit (≤ 10 years)</t>
  </si>
  <si>
    <t>Similar "Purchased Unit" (&lt; 10 years)</t>
  </si>
  <si>
    <t>New Refrigerator**</t>
  </si>
  <si>
    <t>Freezers (All IOUs)</t>
  </si>
  <si>
    <t>Similar “Free” Used Unit (≤ 11.5 years)</t>
  </si>
  <si>
    <t>Similar "Purchased Unit" (&lt; 8 years)</t>
  </si>
  <si>
    <t>New Freezer**</t>
  </si>
  <si>
    <t>Kept Existing (would have replaced) *</t>
  </si>
  <si>
    <t>*  Alternative consumption for "Kept Existing, would have replaced" is the weighted 
    average of the full program UEC and the UEC for a "Similar "Free" Used Unit".
** NAECA 2011 Shipment Weighted Energy Consumption for Refrigerators and Freezers</t>
  </si>
  <si>
    <t>Source for New unit UEC: AHAM Energy Efficiency and Consumption Trends 2012</t>
  </si>
  <si>
    <t>Table 42: Part-Use Factors for Secondary Units by IOU</t>
  </si>
  <si>
    <t>Table 43: Refrigerator Consumption by Scenario for PG&amp;E</t>
  </si>
  <si>
    <t>Baseline Consumption on Grid</t>
  </si>
  <si>
    <t>Unit Placed into Service due to Program</t>
  </si>
  <si>
    <t xml:space="preserve">Adj.  UEC </t>
  </si>
  <si>
    <t>(H=(D-G))</t>
  </si>
  <si>
    <t>Statewide Proportions (%)</t>
  </si>
  <si>
    <t>Full UEC</t>
  </si>
  <si>
    <t>Total Gross</t>
  </si>
  <si>
    <t>Total Net</t>
  </si>
  <si>
    <t>already changed in doc</t>
  </si>
  <si>
    <t>original located in:</t>
  </si>
  <si>
    <t>Table 44: Refrigerator Consumption by Scenario for SCE</t>
  </si>
  <si>
    <t>Table 45: Refrigerator Consumption by Scenario for SDG&amp;E</t>
  </si>
  <si>
    <t>Table 46: Freezer Consumption by Scenario for all IOUs</t>
  </si>
  <si>
    <t>Table 48: Gross and Net Savings for PG&amp;E Refrigerators</t>
  </si>
  <si>
    <t>Gross Unit Savings, weighted by path</t>
  </si>
  <si>
    <t>Net Unit Savings, weighted by path</t>
  </si>
  <si>
    <t>Table 49: Gross and Net Savings for SCE Refrigerators</t>
  </si>
  <si>
    <t>Table 50: Gross and Net Savings for SDG&amp;E Refrigerators</t>
  </si>
  <si>
    <t>Table 51: Gross and Net Savings for Recycled Freezers (all IOUs)</t>
  </si>
  <si>
    <t>Precision for NTGR</t>
  </si>
  <si>
    <t>Peak-to-Energy Demand Factor (kw/kwh)</t>
  </si>
  <si>
    <t>C=(A*B)</t>
  </si>
  <si>
    <t>D</t>
  </si>
  <si>
    <t>E=(A*D)</t>
  </si>
  <si>
    <t>Table 54: Per Unit Interactive Effects by IOU</t>
  </si>
  <si>
    <t>Interactive Effects Ratio (therms/kwh)</t>
  </si>
  <si>
    <t>Gross Interactive Effects (therms)</t>
  </si>
  <si>
    <t>Net Interactive Effects (therms)</t>
  </si>
  <si>
    <t>Table 65: Refrigerator Gross and Net Impacts - kWh</t>
  </si>
  <si>
    <r>
      <t xml:space="preserve">Table 71: Comparison of </t>
    </r>
    <r>
      <rPr>
        <b/>
        <i/>
        <sz val="11"/>
        <color theme="1"/>
        <rFont val="Georgia"/>
        <family val="1"/>
      </rPr>
      <t xml:space="preserve">Ex Ante </t>
    </r>
    <r>
      <rPr>
        <b/>
        <sz val="11"/>
        <color theme="1"/>
        <rFont val="Georgia"/>
        <family val="1"/>
      </rPr>
      <t xml:space="preserve">and </t>
    </r>
    <r>
      <rPr>
        <b/>
        <i/>
        <sz val="11"/>
        <color theme="1"/>
        <rFont val="Georgia"/>
        <family val="1"/>
      </rPr>
      <t>Ex Post</t>
    </r>
    <r>
      <rPr>
        <b/>
        <sz val="11"/>
        <color theme="1"/>
        <rFont val="Georgia"/>
        <family val="1"/>
      </rPr>
      <t xml:space="preserve"> per Unit Gross and Net Savings</t>
    </r>
  </si>
  <si>
    <t>&lt;For tables 65-70, see table 3 etc. above&gt;</t>
  </si>
  <si>
    <t>Scalar</t>
  </si>
  <si>
    <t>P/(.65R)=.62/.38</t>
  </si>
  <si>
    <t>P=(.65*R)*.62/.38</t>
  </si>
  <si>
    <t>P=R*(.65*.62/.38)</t>
  </si>
  <si>
    <t>R*(.65*.62/.38)+R=.78</t>
  </si>
  <si>
    <t>R*(.65*.62/.38+1)=.78</t>
  </si>
  <si>
    <t>% of those going back on grid</t>
  </si>
  <si>
    <t>-------&gt;   Total Retail Percentage (Keep plus Destroy)</t>
  </si>
  <si>
    <t>R=.78/(.65*.62/.38+1)</t>
  </si>
  <si>
    <t>SE(savings) if proportions known</t>
  </si>
  <si>
    <t>SE(savings if UECs known</t>
  </si>
  <si>
    <t>combined SE</t>
  </si>
  <si>
    <t>Nevermind…. Kept the old tables rather than replacing with this one.</t>
  </si>
  <si>
    <t>% / SE / n</t>
  </si>
  <si>
    <t>Disposition path</t>
  </si>
  <si>
    <t>Acquired similar free unit</t>
  </si>
  <si>
    <t>Purchased similar unit</t>
  </si>
  <si>
    <t>Purchased new unit</t>
  </si>
  <si>
    <t>Table 40: Proportion of Freezers by Disposition Path</t>
  </si>
  <si>
    <t>Nameplate UEC</t>
  </si>
  <si>
    <t>Predicted In Situ UEC</t>
  </si>
  <si>
    <t>Lab UEC</t>
  </si>
  <si>
    <t>± 73</t>
  </si>
  <si>
    <t>± 66</t>
  </si>
  <si>
    <t>± 133</t>
  </si>
  <si>
    <t>± 43</t>
  </si>
  <si>
    <t>± 41</t>
  </si>
  <si>
    <t>± 82</t>
  </si>
  <si>
    <t>± 69</t>
  </si>
  <si>
    <t>± 63</t>
  </si>
  <si>
    <t>± 122</t>
  </si>
  <si>
    <t>± 97</t>
  </si>
  <si>
    <t>± 83</t>
  </si>
  <si>
    <t>± 164</t>
  </si>
  <si>
    <r>
      <t xml:space="preserve">Table 35: Comparison of Nameplate UEC to </t>
    </r>
    <r>
      <rPr>
        <b/>
        <i/>
        <sz val="11"/>
        <color theme="1"/>
        <rFont val="Georgia"/>
        <family val="1"/>
      </rPr>
      <t>In Situ</t>
    </r>
    <r>
      <rPr>
        <b/>
        <sz val="11"/>
        <color theme="1"/>
        <rFont val="Georgia"/>
        <family val="1"/>
      </rPr>
      <t xml:space="preserve"> and Lab Predicted UEC</t>
    </r>
  </si>
  <si>
    <t>Craigslist P2P acquirers</t>
  </si>
  <si>
    <t>P2P friend/family/neighbor</t>
  </si>
  <si>
    <t>Craigslist Dealer</t>
  </si>
  <si>
    <t>Pop including Craigslist Dealer</t>
  </si>
  <si>
    <t>Estimated Full Retail Pop</t>
  </si>
  <si>
    <t>Climate Group</t>
  </si>
  <si>
    <t>Space Location</t>
  </si>
  <si>
    <t>Conditioned</t>
  </si>
  <si>
    <t>Side by Side Refrigerator</t>
  </si>
  <si>
    <t>Top Freezer Refrigerator</t>
  </si>
  <si>
    <t>Unconditioned</t>
  </si>
  <si>
    <t>Upright Freezer</t>
  </si>
  <si>
    <t>Bottom Freezer Refrigerator</t>
  </si>
  <si>
    <t xml:space="preserve"> Per Unit NTG Ratio</t>
  </si>
  <si>
    <t>&lt;== data behind these numbers is to the right.</t>
  </si>
  <si>
    <t>Mean UEC for Similar Purchased unit</t>
  </si>
  <si>
    <t>Mean UEC for similar free acquired unit</t>
  </si>
  <si>
    <t>&lt;= results presented in GWh</t>
  </si>
  <si>
    <t>&lt;= results presented in GWh for this table</t>
  </si>
  <si>
    <t>Table 66: Refrigerator Gross and Net Demand Impacts - kW</t>
  </si>
  <si>
    <t>Analysis Variable : age</t>
  </si>
  <si>
    <t>proc means data=Acquired_ref_frz n mean std stderr  alpha=0.1 clm; var age; weight acquirer_weight; where Purchased=0 and app_type = 'REF';  run;</t>
  </si>
  <si>
    <t>proc means data=Acquired_ref_frz n mean std stderr  alpha=0.1 clm; var age; weight acquirer_weight; where Purchased=1 and app_type = 'REF';  run;</t>
  </si>
  <si>
    <t>Means Acquired</t>
  </si>
  <si>
    <t>Mean Age</t>
  </si>
  <si>
    <t>Purchased</t>
  </si>
  <si>
    <t>proc means data=Acquired_ref_frz n mean std stderr  alpha=0.1 clm; var age; weight acquirer_weight; where Purchased=0 and app_type = 'FRZ';  run;</t>
  </si>
  <si>
    <t>proc means data=Acquired_ref_frz n mean std stderr  alpha=0.1 clm; var age; weight acquirer_weight; where Purchased=1 and app_type = 'FRZ';  run;</t>
  </si>
  <si>
    <t>Participant Survey (q. R19, R20, R21)</t>
  </si>
  <si>
    <t>Discarder survey (q. D16)</t>
  </si>
  <si>
    <t xml:space="preserve">Acquirer Survey (q. AQ4) </t>
  </si>
  <si>
    <t>Acquirer Survey (q. AQ 9a, AQ9b)</t>
  </si>
  <si>
    <t xml:space="preserve">Acquirer Survey (q. AQ4, AQ7, AQ7a, AQ8) </t>
  </si>
  <si>
    <t>Acquirer Survey (q. AQ 3)</t>
  </si>
  <si>
    <t>Precision at 90% Confidence Level</t>
  </si>
  <si>
    <t>Statewide Confidence Intervals</t>
  </si>
  <si>
    <t>Statewide per unit Gross</t>
  </si>
  <si>
    <t>Statewide per unit Net</t>
  </si>
  <si>
    <t>Freq</t>
  </si>
  <si>
    <t>% (EAR Team Rev)</t>
  </si>
  <si>
    <t>SE (EAR Team Rev)</t>
  </si>
  <si>
    <t>EAR Team Recalc</t>
  </si>
  <si>
    <t>Normalized AI86 &amp; AI87 so sum=100%</t>
  </si>
  <si>
    <t>EAR Tam Recalc</t>
  </si>
  <si>
    <t>Recalc'd to remove retailer destroyed frac (cell G121, since those are included in a step further down in the analysis.</t>
  </si>
  <si>
    <t>SE%</t>
  </si>
  <si>
    <t>90% CE limits</t>
  </si>
  <si>
    <t>Confidence Interval</t>
  </si>
  <si>
    <t>Confidence Interval (+/-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</si>
</sst>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%"/>
    <numFmt numFmtId="165" formatCode="0.000"/>
    <numFmt numFmtId="166" formatCode="0.0000"/>
    <numFmt numFmtId="167" formatCode="0.0"/>
    <numFmt numFmtId="168" formatCode="_(* #,##0_);_(* \(#,##0\);_(* &quot;-&quot;??_);_(@_)"/>
    <numFmt numFmtId="169" formatCode="0.00000"/>
    <numFmt numFmtId="170" formatCode="0.00000000000000"/>
  </numFmts>
  <fonts count="1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1F497D"/>
      <name val="Calibri"/>
      <family val="2"/>
      <scheme val="minor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3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b/>
      <sz val="28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10"/>
      <color rgb="FFFFFFFF"/>
      <name val="Verdana"/>
      <family val="2"/>
    </font>
    <font>
      <b/>
      <i/>
      <sz val="10"/>
      <color rgb="FFFFFFFF"/>
      <name val="Verdana"/>
      <family val="2"/>
    </font>
    <font>
      <b/>
      <sz val="10"/>
      <color rgb="FF002776"/>
      <name val="Georgia"/>
      <family val="1"/>
    </font>
    <font>
      <sz val="9"/>
      <name val="Arial"/>
      <family val="2"/>
    </font>
    <font>
      <sz val="11"/>
      <color theme="1"/>
      <name val="Verdana"/>
      <family val="2"/>
    </font>
    <font>
      <sz val="10"/>
      <color rgb="FF333333"/>
      <name val="Georgia"/>
      <family val="1"/>
    </font>
    <font>
      <sz val="10"/>
      <color rgb="FF333333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0"/>
      <color rgb="FF333333"/>
      <name val="Georgia"/>
      <family val="1"/>
    </font>
    <font>
      <b/>
      <sz val="10"/>
      <color rgb="FF333333"/>
      <name val="Verdana"/>
      <family val="2"/>
    </font>
    <font>
      <b/>
      <sz val="11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rgb="FF112277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b/>
      <i/>
      <sz val="10"/>
      <color theme="1"/>
      <name val="Georgia"/>
      <family val="1"/>
    </font>
    <font>
      <i/>
      <sz val="10"/>
      <color theme="1"/>
      <name val="Georgia"/>
      <family val="1"/>
    </font>
    <font>
      <sz val="10"/>
      <color rgb="FF000000"/>
      <name val="Georgia"/>
      <family val="1"/>
    </font>
    <font>
      <sz val="11"/>
      <color rgb="FF333333"/>
      <name val="Verdana"/>
      <family val="2"/>
    </font>
    <font>
      <sz val="11"/>
      <color theme="1"/>
      <name val="Georgia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9"/>
      <color rgb="FF333333"/>
      <name val="Verdana"/>
      <family val="2"/>
    </font>
    <font>
      <sz val="9"/>
      <color rgb="FF333333"/>
      <name val="Verdana"/>
      <family val="2"/>
    </font>
    <font>
      <sz val="12"/>
      <color theme="1"/>
      <name val="Calibri"/>
      <family val="2"/>
    </font>
    <font>
      <sz val="12"/>
      <color rgb="FF000000"/>
      <name val="Times New Roman"/>
      <family val="1"/>
    </font>
    <font>
      <sz val="11"/>
      <color rgb="FF1F497D"/>
      <name val="Calibri"/>
      <family val="2"/>
    </font>
    <font>
      <sz val="11"/>
      <color rgb="FF1F497D"/>
      <name val="Wingdings"/>
      <charset val="2"/>
    </font>
    <font>
      <sz val="9"/>
      <color theme="1"/>
      <name val="Calibri"/>
      <family val="2"/>
      <scheme val="minor"/>
    </font>
    <font>
      <b/>
      <sz val="11"/>
      <color rgb="FFFFFFFF"/>
      <name val="Verdana"/>
      <family val="2"/>
    </font>
    <font>
      <b/>
      <sz val="9"/>
      <color rgb="FFFFFFFF"/>
      <name val="Verdana"/>
      <family val="2"/>
    </font>
    <font>
      <sz val="9"/>
      <color rgb="FFFFFFFF"/>
      <name val="Georgia"/>
      <family val="1"/>
    </font>
    <font>
      <i/>
      <sz val="9"/>
      <color rgb="FF000000"/>
      <name val="Georgia"/>
      <family val="1"/>
    </font>
    <font>
      <sz val="9"/>
      <color rgb="FFFFFFFF"/>
      <name val="Verdana"/>
      <family val="2"/>
    </font>
    <font>
      <b/>
      <sz val="10.5"/>
      <color theme="1"/>
      <name val="Georgia"/>
      <family val="1"/>
    </font>
    <font>
      <b/>
      <sz val="11"/>
      <color rgb="FF000000"/>
      <name val="Georgia"/>
      <family val="1"/>
    </font>
    <font>
      <i/>
      <sz val="10"/>
      <color rgb="FF000000"/>
      <name val="Georgia"/>
      <family val="1"/>
    </font>
    <font>
      <b/>
      <i/>
      <sz val="11"/>
      <color theme="1"/>
      <name val="Georgia"/>
      <family val="1"/>
    </font>
    <font>
      <i/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FFFFFF"/>
      <name val="Georgia"/>
      <family val="1"/>
    </font>
    <font>
      <b/>
      <i/>
      <sz val="9"/>
      <color rgb="FFFFFFFF"/>
      <name val="Verdana"/>
      <family val="2"/>
    </font>
    <font>
      <i/>
      <sz val="11"/>
      <color rgb="FF000000"/>
      <name val="Georgia"/>
      <family val="1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0" tint="-0.499984740745262"/>
      <name val="Arial"/>
      <family val="2"/>
    </font>
    <font>
      <sz val="9"/>
      <color theme="0" tint="-0.499984740745262"/>
      <name val="Arial"/>
      <family val="2"/>
    </font>
    <font>
      <i/>
      <sz val="11"/>
      <color theme="0" tint="-0.499984740745262"/>
      <name val="Calibri"/>
      <family val="2"/>
      <scheme val="minor"/>
    </font>
    <font>
      <b/>
      <sz val="28"/>
      <color theme="0" tint="-0.499984740745262"/>
      <name val="Calibri"/>
      <family val="2"/>
      <scheme val="minor"/>
    </font>
    <font>
      <sz val="10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8"/>
      <color theme="0" tint="-0.499984740745262"/>
      <name val="SAS Monospace"/>
      <family val="3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 tint="-0.499984740745262"/>
      <name val="Arial"/>
      <family val="2"/>
    </font>
    <font>
      <i/>
      <sz val="10"/>
      <color theme="0" tint="-0.499984740745262"/>
      <name val="Georgia"/>
      <family val="1"/>
    </font>
    <font>
      <sz val="10"/>
      <color theme="0" tint="-0.499984740745262"/>
      <name val="Georgia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0"/>
      <color theme="1"/>
      <name val="Georgia"/>
      <family val="1"/>
    </font>
    <font>
      <sz val="10"/>
      <color theme="1"/>
      <name val="Symbol"/>
      <family val="1"/>
      <charset val="2"/>
    </font>
    <font>
      <sz val="10"/>
      <color rgb="FF333333"/>
      <name val="Symbol"/>
      <family val="1"/>
      <charset val="2"/>
    </font>
    <font>
      <sz val="10"/>
      <color rgb="FF003591"/>
      <name val="Georgia"/>
      <family val="1"/>
    </font>
    <font>
      <b/>
      <sz val="10"/>
      <color rgb="FF000000"/>
      <name val="Georgia"/>
      <family val="1"/>
    </font>
    <font>
      <b/>
      <i/>
      <sz val="10"/>
      <color rgb="FF002776"/>
      <name val="Georgia"/>
      <family val="1"/>
    </font>
    <font>
      <sz val="10"/>
      <color rgb="FF002776"/>
      <name val="Georgia"/>
      <family val="1"/>
    </font>
    <font>
      <b/>
      <sz val="10"/>
      <color rgb="FF002060"/>
      <name val="Georgia"/>
      <family val="1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FFFF"/>
      <name val="Verdana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Segoe UI"/>
      <family val="2"/>
    </font>
    <font>
      <sz val="11"/>
      <color rgb="FF003591"/>
      <name val="Georgia"/>
      <family val="1"/>
    </font>
    <font>
      <sz val="26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9"/>
      <name val="Arial"/>
      <family val="2"/>
    </font>
    <font>
      <i/>
      <sz val="10"/>
      <color rgb="FF333333"/>
      <name val="Georgia"/>
      <family val="1"/>
    </font>
    <font>
      <sz val="8"/>
      <color rgb="FF000000"/>
      <name val="Georgia"/>
      <family val="1"/>
    </font>
    <font>
      <b/>
      <sz val="14"/>
      <color theme="1"/>
      <name val="Calibri"/>
      <family val="2"/>
      <scheme val="minor"/>
    </font>
    <font>
      <sz val="9"/>
      <color theme="1"/>
      <name val="Georgia"/>
      <family val="1"/>
    </font>
    <font>
      <sz val="9"/>
      <color theme="0"/>
      <name val="Georgia"/>
      <family val="1"/>
    </font>
    <font>
      <sz val="10"/>
      <color theme="0"/>
      <name val="Georgia"/>
      <family val="1"/>
    </font>
    <font>
      <sz val="9"/>
      <color rgb="FF000000"/>
      <name val="Georgia"/>
      <family val="1"/>
    </font>
    <font>
      <i/>
      <sz val="9"/>
      <color theme="1"/>
      <name val="Georgia"/>
      <family val="1"/>
    </font>
    <font>
      <sz val="11"/>
      <color rgb="FF333333"/>
      <name val="Calibri"/>
      <family val="2"/>
    </font>
    <font>
      <sz val="18"/>
      <name val="Arial"/>
      <family val="2"/>
    </font>
    <font>
      <b/>
      <sz val="10"/>
      <color rgb="FFFFFFFF"/>
      <name val="Verdana"/>
      <family val="2"/>
    </font>
    <font>
      <b/>
      <sz val="10"/>
      <color rgb="FF002776"/>
      <name val="Verdana"/>
      <family val="2"/>
    </font>
    <font>
      <sz val="10"/>
      <color rgb="FF333333"/>
      <name val="Verdana"/>
      <family val="2"/>
    </font>
    <font>
      <b/>
      <sz val="10"/>
      <color rgb="FF333333"/>
      <name val="Verdana"/>
      <family val="2"/>
    </font>
    <font>
      <sz val="18"/>
      <name val="Georgia"/>
      <family val="1"/>
    </font>
    <font>
      <b/>
      <sz val="12"/>
      <color rgb="FF333333"/>
      <name val="Georgia"/>
      <family val="1"/>
    </font>
    <font>
      <b/>
      <sz val="12"/>
      <color rgb="FF333333"/>
      <name val="Calibri"/>
      <family val="2"/>
      <scheme val="minor"/>
    </font>
    <font>
      <b/>
      <sz val="11"/>
      <color rgb="FF002776"/>
      <name val="Georgia"/>
      <family val="1"/>
    </font>
    <font>
      <sz val="11"/>
      <color rgb="FF333333"/>
      <name val="Georgia"/>
      <family val="1"/>
    </font>
    <font>
      <b/>
      <sz val="11"/>
      <color rgb="FF333333"/>
      <name val="Calibri"/>
      <family val="2"/>
      <scheme val="minor"/>
    </font>
    <font>
      <sz val="10"/>
      <name val="Georgia"/>
      <family val="1"/>
    </font>
    <font>
      <b/>
      <sz val="10"/>
      <name val="Georgia"/>
      <family val="1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rgb="FFC00000"/>
      <name val="Arial"/>
      <family val="2"/>
    </font>
    <font>
      <i/>
      <sz val="9"/>
      <color rgb="FFC00000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9"/>
      <color rgb="FFC00000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BB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3591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003591"/>
        <bgColor indexed="64"/>
      </patternFill>
    </fill>
    <fill>
      <patternFill patternType="solid">
        <fgColor rgb="FFB8C8F1"/>
        <bgColor indexed="64"/>
      </patternFill>
    </fill>
    <fill>
      <patternFill patternType="solid">
        <fgColor rgb="FF6CA4FF"/>
        <bgColor indexed="64"/>
      </patternFill>
    </fill>
    <fill>
      <patternFill patternType="solid">
        <fgColor rgb="FF2275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6D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BE3F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FBFB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BCEDC"/>
        <bgColor indexed="64"/>
      </patternFill>
    </fill>
    <fill>
      <patternFill patternType="solid">
        <fgColor rgb="FFE7E8EE"/>
        <bgColor indexed="64"/>
      </patternFill>
    </fill>
    <fill>
      <patternFill patternType="solid">
        <fgColor rgb="FFE9E9E9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medium">
        <color rgb="FF000000"/>
      </left>
      <right style="thin">
        <color rgb="FFC1C1C1"/>
      </right>
      <top style="medium">
        <color rgb="FF000000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medium">
        <color rgb="FF000000"/>
      </top>
      <bottom style="thin">
        <color rgb="FFC1C1C1"/>
      </bottom>
      <diagonal/>
    </border>
    <border>
      <left style="medium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medium">
        <color rgb="FF000000"/>
      </left>
      <right style="thin">
        <color rgb="FFC1C1C1"/>
      </right>
      <top style="thin">
        <color rgb="FFC1C1C1"/>
      </top>
      <bottom style="medium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C1C1C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A6A6A6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A6A6A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B0B7BB"/>
      </right>
      <top/>
      <bottom style="medium">
        <color rgb="FFB0B7BB"/>
      </bottom>
      <diagonal/>
    </border>
    <border>
      <left/>
      <right style="medium">
        <color rgb="FFB0B7BB"/>
      </right>
      <top/>
      <bottom/>
      <diagonal/>
    </border>
    <border>
      <left style="medium">
        <color rgb="FF000000"/>
      </left>
      <right style="medium">
        <color rgb="FFB0B7BB"/>
      </right>
      <top style="medium">
        <color rgb="FF000000"/>
      </top>
      <bottom/>
      <diagonal/>
    </border>
    <border>
      <left/>
      <right style="medium">
        <color rgb="FFB0B7BB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B0B7BB"/>
      </right>
      <top/>
      <bottom style="medium">
        <color rgb="FFB0B7BB"/>
      </bottom>
      <diagonal/>
    </border>
    <border>
      <left/>
      <right/>
      <top/>
      <bottom style="medium">
        <color rgb="FFB0B7BB"/>
      </bottom>
      <diagonal/>
    </border>
    <border>
      <left style="medium">
        <color rgb="FF000000"/>
      </left>
      <right style="medium">
        <color rgb="FFB0B7BB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B0B7BB"/>
      </left>
      <right style="medium">
        <color rgb="FFB0B7BB"/>
      </right>
      <top style="medium">
        <color rgb="FF000000"/>
      </top>
      <bottom/>
      <diagonal/>
    </border>
    <border>
      <left style="medium">
        <color rgb="FFB0B7BB"/>
      </left>
      <right style="medium">
        <color rgb="FFB0B7BB"/>
      </right>
      <top/>
      <bottom style="medium">
        <color rgb="FFB0B7B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C1C1C1"/>
      </left>
      <right style="medium">
        <color rgb="FF000000"/>
      </right>
      <top style="medium">
        <color rgb="FF000000"/>
      </top>
      <bottom style="thin">
        <color rgb="FFC1C1C1"/>
      </bottom>
      <diagonal/>
    </border>
    <border>
      <left style="thin">
        <color rgb="FFC1C1C1"/>
      </left>
      <right style="medium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medium">
        <color rgb="FF000000"/>
      </right>
      <top style="thin">
        <color rgb="FFC1C1C1"/>
      </top>
      <bottom style="medium">
        <color rgb="FF000000"/>
      </bottom>
      <diagonal/>
    </border>
    <border>
      <left style="thin">
        <color rgb="FFC1C1C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rgb="FFA6A6A6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thin">
        <color indexed="64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rgb="FFA6A6A6"/>
      </left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999999"/>
      </left>
      <right style="medium">
        <color rgb="FF999999"/>
      </right>
      <top style="medium">
        <color rgb="FFFFFFFF"/>
      </top>
      <bottom/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808080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/>
      <bottom style="medium">
        <color rgb="FFA6A6A6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3" fillId="0" borderId="0"/>
    <xf numFmtId="9" fontId="63" fillId="0" borderId="0" applyFont="0" applyFill="0" applyBorder="0" applyAlignment="0" applyProtection="0"/>
    <xf numFmtId="0" fontId="48" fillId="10" borderId="0" applyNumberFormat="0" applyBorder="0" applyAlignment="0" applyProtection="0"/>
    <xf numFmtId="0" fontId="48" fillId="14" borderId="0" applyNumberFormat="0" applyBorder="0" applyAlignment="0" applyProtection="0"/>
    <xf numFmtId="0" fontId="48" fillId="18" borderId="0" applyNumberFormat="0" applyBorder="0" applyAlignment="0" applyProtection="0"/>
    <xf numFmtId="0" fontId="48" fillId="22" borderId="0" applyNumberFormat="0" applyBorder="0" applyAlignment="0" applyProtection="0"/>
    <xf numFmtId="0" fontId="48" fillId="26" borderId="0" applyNumberFormat="0" applyBorder="0" applyAlignment="0" applyProtection="0"/>
    <xf numFmtId="0" fontId="48" fillId="30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9" borderId="0" applyNumberFormat="0" applyBorder="0" applyAlignment="0" applyProtection="0"/>
    <xf numFmtId="0" fontId="48" fillId="23" borderId="0" applyNumberFormat="0" applyBorder="0" applyAlignment="0" applyProtection="0"/>
    <xf numFmtId="0" fontId="48" fillId="27" borderId="0" applyNumberFormat="0" applyBorder="0" applyAlignment="0" applyProtection="0"/>
    <xf numFmtId="0" fontId="48" fillId="31" borderId="0" applyNumberFormat="0" applyBorder="0" applyAlignment="0" applyProtection="0"/>
    <xf numFmtId="0" fontId="109" fillId="12" borderId="0" applyNumberFormat="0" applyBorder="0" applyAlignment="0" applyProtection="0"/>
    <xf numFmtId="0" fontId="109" fillId="16" borderId="0" applyNumberFormat="0" applyBorder="0" applyAlignment="0" applyProtection="0"/>
    <xf numFmtId="0" fontId="109" fillId="20" borderId="0" applyNumberFormat="0" applyBorder="0" applyAlignment="0" applyProtection="0"/>
    <xf numFmtId="0" fontId="109" fillId="24" borderId="0" applyNumberFormat="0" applyBorder="0" applyAlignment="0" applyProtection="0"/>
    <xf numFmtId="0" fontId="109" fillId="28" borderId="0" applyNumberFormat="0" applyBorder="0" applyAlignment="0" applyProtection="0"/>
    <xf numFmtId="0" fontId="109" fillId="32" borderId="0" applyNumberFormat="0" applyBorder="0" applyAlignment="0" applyProtection="0"/>
    <xf numFmtId="0" fontId="109" fillId="9" borderId="0" applyNumberFormat="0" applyBorder="0" applyAlignment="0" applyProtection="0"/>
    <xf numFmtId="0" fontId="109" fillId="13" borderId="0" applyNumberFormat="0" applyBorder="0" applyAlignment="0" applyProtection="0"/>
    <xf numFmtId="0" fontId="109" fillId="17" borderId="0" applyNumberFormat="0" applyBorder="0" applyAlignment="0" applyProtection="0"/>
    <xf numFmtId="0" fontId="109" fillId="21" borderId="0" applyNumberFormat="0" applyBorder="0" applyAlignment="0" applyProtection="0"/>
    <xf numFmtId="0" fontId="109" fillId="25" borderId="0" applyNumberFormat="0" applyBorder="0" applyAlignment="0" applyProtection="0"/>
    <xf numFmtId="0" fontId="109" fillId="29" borderId="0" applyNumberFormat="0" applyBorder="0" applyAlignment="0" applyProtection="0"/>
    <xf numFmtId="0" fontId="110" fillId="3" borderId="0" applyNumberFormat="0" applyBorder="0" applyAlignment="0" applyProtection="0"/>
    <xf numFmtId="0" fontId="111" fillId="6" borderId="4" applyNumberFormat="0" applyAlignment="0" applyProtection="0"/>
    <xf numFmtId="0" fontId="112" fillId="7" borderId="7" applyNumberFormat="0" applyAlignment="0" applyProtection="0"/>
    <xf numFmtId="0" fontId="113" fillId="0" borderId="0" applyNumberFormat="0" applyFill="0" applyBorder="0" applyAlignment="0" applyProtection="0"/>
    <xf numFmtId="0" fontId="114" fillId="2" borderId="0" applyNumberFormat="0" applyBorder="0" applyAlignment="0" applyProtection="0"/>
    <xf numFmtId="0" fontId="115" fillId="0" borderId="1" applyNumberFormat="0" applyFill="0" applyAlignment="0" applyProtection="0"/>
    <xf numFmtId="0" fontId="116" fillId="0" borderId="2" applyNumberFormat="0" applyFill="0" applyAlignment="0" applyProtection="0"/>
    <xf numFmtId="0" fontId="117" fillId="0" borderId="3" applyNumberFormat="0" applyFill="0" applyAlignment="0" applyProtection="0"/>
    <xf numFmtId="0" fontId="117" fillId="0" borderId="0" applyNumberFormat="0" applyFill="0" applyBorder="0" applyAlignment="0" applyProtection="0"/>
    <xf numFmtId="0" fontId="118" fillId="5" borderId="4" applyNumberFormat="0" applyAlignment="0" applyProtection="0"/>
    <xf numFmtId="0" fontId="119" fillId="0" borderId="6" applyNumberFormat="0" applyFill="0" applyAlignment="0" applyProtection="0"/>
    <xf numFmtId="0" fontId="120" fillId="4" borderId="0" applyNumberFormat="0" applyBorder="0" applyAlignment="0" applyProtection="0"/>
    <xf numFmtId="0" fontId="48" fillId="8" borderId="8" applyNumberFormat="0" applyFont="0" applyAlignment="0" applyProtection="0"/>
    <xf numFmtId="0" fontId="121" fillId="6" borderId="5" applyNumberFormat="0" applyAlignment="0" applyProtection="0"/>
    <xf numFmtId="0" fontId="122" fillId="0" borderId="9" applyNumberFormat="0" applyFill="0" applyAlignment="0" applyProtection="0"/>
    <xf numFmtId="0" fontId="123" fillId="0" borderId="0" applyNumberFormat="0" applyFill="0" applyBorder="0" applyAlignment="0" applyProtection="0"/>
    <xf numFmtId="0" fontId="125" fillId="0" borderId="0" applyNumberFormat="0" applyFill="0" applyBorder="0" applyAlignment="0" applyProtection="0"/>
  </cellStyleXfs>
  <cellXfs count="1965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0" xfId="0" applyFill="1" applyBorder="1" applyAlignment="1">
      <alignment vertical="top"/>
    </xf>
    <xf numFmtId="0" fontId="0" fillId="0" borderId="13" xfId="0" applyBorder="1" applyAlignment="1">
      <alignment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/>
    <xf numFmtId="0" fontId="0" fillId="0" borderId="19" xfId="0" applyBorder="1" applyAlignment="1">
      <alignment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2" fillId="33" borderId="30" xfId="0" applyFont="1" applyFill="1" applyBorder="1" applyAlignment="1">
      <alignment vertical="center" wrapText="1"/>
    </xf>
    <xf numFmtId="0" fontId="23" fillId="34" borderId="31" xfId="0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2" fillId="33" borderId="33" xfId="0" applyFont="1" applyFill="1" applyBorder="1" applyAlignment="1">
      <alignment horizontal="right" vertical="center" wrapText="1"/>
    </xf>
    <xf numFmtId="0" fontId="22" fillId="33" borderId="30" xfId="0" applyFont="1" applyFill="1" applyBorder="1" applyAlignment="1">
      <alignment horizontal="right" vertical="center" wrapText="1"/>
    </xf>
    <xf numFmtId="0" fontId="23" fillId="34" borderId="30" xfId="0" applyFont="1" applyFill="1" applyBorder="1" applyAlignment="1">
      <alignment horizontal="right" vertical="center" wrapText="1"/>
    </xf>
    <xf numFmtId="0" fontId="22" fillId="0" borderId="34" xfId="0" applyFont="1" applyBorder="1" applyAlignment="1">
      <alignment horizontal="right" vertical="center" wrapText="1"/>
    </xf>
    <xf numFmtId="0" fontId="23" fillId="0" borderId="34" xfId="0" applyFont="1" applyBorder="1" applyAlignment="1">
      <alignment horizontal="right" vertical="center" wrapText="1"/>
    </xf>
    <xf numFmtId="0" fontId="22" fillId="0" borderId="0" xfId="0" applyFont="1"/>
    <xf numFmtId="0" fontId="25" fillId="3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vertical="center"/>
    </xf>
    <xf numFmtId="0" fontId="23" fillId="35" borderId="0" xfId="0" applyFont="1" applyFill="1" applyAlignment="1">
      <alignment vertical="center"/>
    </xf>
    <xf numFmtId="0" fontId="0" fillId="35" borderId="0" xfId="0" applyFill="1"/>
    <xf numFmtId="0" fontId="0" fillId="36" borderId="0" xfId="0" applyFill="1" applyAlignment="1">
      <alignment horizontal="center"/>
    </xf>
    <xf numFmtId="0" fontId="0" fillId="39" borderId="43" xfId="0" applyFill="1" applyBorder="1"/>
    <xf numFmtId="0" fontId="0" fillId="40" borderId="43" xfId="0" applyFill="1" applyBorder="1"/>
    <xf numFmtId="0" fontId="0" fillId="41" borderId="43" xfId="0" applyFill="1" applyBorder="1"/>
    <xf numFmtId="9" fontId="0" fillId="42" borderId="43" xfId="42" applyFont="1" applyFill="1" applyBorder="1"/>
    <xf numFmtId="0" fontId="0" fillId="0" borderId="0" xfId="0" applyFill="1" applyBorder="1"/>
    <xf numFmtId="0" fontId="0" fillId="41" borderId="39" xfId="0" applyFill="1" applyBorder="1"/>
    <xf numFmtId="0" fontId="0" fillId="41" borderId="41" xfId="0" applyFill="1" applyBorder="1"/>
    <xf numFmtId="0" fontId="0" fillId="39" borderId="12" xfId="0" applyFill="1" applyBorder="1"/>
    <xf numFmtId="0" fontId="0" fillId="40" borderId="39" xfId="0" applyFill="1" applyBorder="1"/>
    <xf numFmtId="0" fontId="0" fillId="40" borderId="0" xfId="0" applyFill="1" applyBorder="1"/>
    <xf numFmtId="0" fontId="0" fillId="40" borderId="41" xfId="0" applyFill="1" applyBorder="1"/>
    <xf numFmtId="0" fontId="0" fillId="40" borderId="42" xfId="0" applyFill="1" applyBorder="1"/>
    <xf numFmtId="0" fontId="0" fillId="42" borderId="44" xfId="0" applyFill="1" applyBorder="1"/>
    <xf numFmtId="0" fontId="0" fillId="42" borderId="0" xfId="0" applyFill="1" applyBorder="1"/>
    <xf numFmtId="0" fontId="0" fillId="40" borderId="48" xfId="0" applyFill="1" applyBorder="1"/>
    <xf numFmtId="0" fontId="0" fillId="40" borderId="11" xfId="0" applyFill="1" applyBorder="1"/>
    <xf numFmtId="0" fontId="0" fillId="40" borderId="40" xfId="0" applyFill="1" applyBorder="1"/>
    <xf numFmtId="0" fontId="0" fillId="39" borderId="39" xfId="0" applyFill="1" applyBorder="1"/>
    <xf numFmtId="0" fontId="0" fillId="42" borderId="45" xfId="0" applyFill="1" applyBorder="1"/>
    <xf numFmtId="0" fontId="0" fillId="42" borderId="40" xfId="0" applyFill="1" applyBorder="1"/>
    <xf numFmtId="0" fontId="0" fillId="42" borderId="46" xfId="0" applyFill="1" applyBorder="1"/>
    <xf numFmtId="9" fontId="0" fillId="42" borderId="44" xfId="42" applyFont="1" applyFill="1" applyBorder="1" applyAlignment="1">
      <alignment horizontal="center"/>
    </xf>
    <xf numFmtId="0" fontId="0" fillId="42" borderId="0" xfId="0" applyFill="1" applyBorder="1" applyAlignment="1">
      <alignment horizontal="center"/>
    </xf>
    <xf numFmtId="9" fontId="0" fillId="42" borderId="48" xfId="42" applyFont="1" applyFill="1" applyBorder="1" applyAlignment="1">
      <alignment horizontal="center"/>
    </xf>
    <xf numFmtId="9" fontId="0" fillId="40" borderId="48" xfId="0" applyNumberFormat="1" applyFill="1" applyBorder="1" applyAlignment="1">
      <alignment horizontal="center"/>
    </xf>
    <xf numFmtId="9" fontId="0" fillId="40" borderId="0" xfId="0" applyNumberFormat="1" applyFill="1" applyBorder="1" applyAlignment="1">
      <alignment horizontal="center"/>
    </xf>
    <xf numFmtId="0" fontId="0" fillId="40" borderId="0" xfId="0" applyFill="1" applyBorder="1" applyAlignment="1">
      <alignment horizontal="center"/>
    </xf>
    <xf numFmtId="0" fontId="0" fillId="40" borderId="42" xfId="0" applyFill="1" applyBorder="1" applyAlignment="1">
      <alignment horizontal="center"/>
    </xf>
    <xf numFmtId="9" fontId="0" fillId="39" borderId="44" xfId="42" applyFont="1" applyFill="1" applyBorder="1" applyAlignment="1">
      <alignment horizontal="center"/>
    </xf>
    <xf numFmtId="9" fontId="0" fillId="39" borderId="48" xfId="42" applyFont="1" applyFill="1" applyBorder="1" applyAlignment="1">
      <alignment horizontal="center"/>
    </xf>
    <xf numFmtId="0" fontId="0" fillId="39" borderId="48" xfId="0" applyFill="1" applyBorder="1"/>
    <xf numFmtId="9" fontId="0" fillId="41" borderId="40" xfId="0" applyNumberFormat="1" applyFill="1" applyBorder="1" applyAlignment="1">
      <alignment horizontal="center"/>
    </xf>
    <xf numFmtId="9" fontId="0" fillId="41" borderId="11" xfId="0" applyNumberFormat="1" applyFill="1" applyBorder="1" applyAlignment="1">
      <alignment horizontal="center"/>
    </xf>
    <xf numFmtId="0" fontId="29" fillId="43" borderId="0" xfId="0" applyFont="1" applyFill="1" applyAlignment="1">
      <alignment vertical="top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19" fillId="0" borderId="51" xfId="0" applyFont="1" applyBorder="1" applyAlignment="1">
      <alignment horizontal="center" vertical="top" wrapText="1"/>
    </xf>
    <xf numFmtId="0" fontId="0" fillId="39" borderId="0" xfId="0" applyFill="1" applyBorder="1" applyAlignment="1">
      <alignment horizontal="center"/>
    </xf>
    <xf numFmtId="0" fontId="0" fillId="44" borderId="0" xfId="0" applyFill="1" applyAlignment="1">
      <alignment vertical="center"/>
    </xf>
    <xf numFmtId="0" fontId="0" fillId="44" borderId="0" xfId="0" applyFill="1"/>
    <xf numFmtId="0" fontId="29" fillId="44" borderId="0" xfId="0" applyFont="1" applyFill="1" applyAlignment="1">
      <alignment vertical="top" wrapText="1"/>
    </xf>
    <xf numFmtId="0" fontId="29" fillId="44" borderId="0" xfId="0" applyFont="1" applyFill="1" applyAlignment="1">
      <alignment vertical="center"/>
    </xf>
    <xf numFmtId="0" fontId="29" fillId="44" borderId="0" xfId="0" applyFont="1" applyFill="1" applyAlignment="1">
      <alignment horizontal="left" vertical="center"/>
    </xf>
    <xf numFmtId="0" fontId="20" fillId="44" borderId="0" xfId="0" applyFont="1" applyFill="1" applyAlignment="1">
      <alignment vertical="top" wrapText="1"/>
    </xf>
    <xf numFmtId="0" fontId="30" fillId="44" borderId="0" xfId="0" applyFont="1" applyFill="1" applyAlignment="1">
      <alignment vertical="center"/>
    </xf>
    <xf numFmtId="0" fontId="0" fillId="44" borderId="39" xfId="0" applyFill="1" applyBorder="1"/>
    <xf numFmtId="9" fontId="0" fillId="44" borderId="40" xfId="0" applyNumberFormat="1" applyFill="1" applyBorder="1" applyAlignment="1">
      <alignment horizontal="center"/>
    </xf>
    <xf numFmtId="0" fontId="0" fillId="44" borderId="41" xfId="0" applyFill="1" applyBorder="1"/>
    <xf numFmtId="9" fontId="0" fillId="44" borderId="11" xfId="0" applyNumberFormat="1" applyFill="1" applyBorder="1" applyAlignment="1">
      <alignment horizontal="center"/>
    </xf>
    <xf numFmtId="0" fontId="0" fillId="45" borderId="12" xfId="0" applyFill="1" applyBorder="1"/>
    <xf numFmtId="9" fontId="0" fillId="45" borderId="45" xfId="0" applyNumberFormat="1" applyFill="1" applyBorder="1" applyAlignment="1">
      <alignment horizontal="center"/>
    </xf>
    <xf numFmtId="0" fontId="0" fillId="45" borderId="39" xfId="0" applyFill="1" applyBorder="1"/>
    <xf numFmtId="9" fontId="0" fillId="45" borderId="40" xfId="0" applyNumberFormat="1" applyFill="1" applyBorder="1" applyAlignment="1">
      <alignment horizontal="center"/>
    </xf>
    <xf numFmtId="0" fontId="0" fillId="45" borderId="41" xfId="0" applyFill="1" applyBorder="1"/>
    <xf numFmtId="9" fontId="0" fillId="45" borderId="11" xfId="0" applyNumberFormat="1" applyFill="1" applyBorder="1" applyAlignment="1">
      <alignment horizontal="center"/>
    </xf>
    <xf numFmtId="0" fontId="0" fillId="46" borderId="39" xfId="0" applyFill="1" applyBorder="1"/>
    <xf numFmtId="9" fontId="0" fillId="46" borderId="40" xfId="0" applyNumberFormat="1" applyFill="1" applyBorder="1" applyAlignment="1">
      <alignment horizontal="center"/>
    </xf>
    <xf numFmtId="0" fontId="0" fillId="46" borderId="41" xfId="0" applyFill="1" applyBorder="1"/>
    <xf numFmtId="9" fontId="0" fillId="46" borderId="11" xfId="0" applyNumberFormat="1" applyFill="1" applyBorder="1" applyAlignment="1">
      <alignment horizontal="center"/>
    </xf>
    <xf numFmtId="0" fontId="30" fillId="45" borderId="0" xfId="0" applyFont="1" applyFill="1" applyAlignment="1">
      <alignment vertical="center"/>
    </xf>
    <xf numFmtId="0" fontId="0" fillId="45" borderId="0" xfId="0" applyFill="1"/>
    <xf numFmtId="0" fontId="29" fillId="45" borderId="0" xfId="0" applyFont="1" applyFill="1" applyAlignment="1">
      <alignment vertical="center"/>
    </xf>
    <xf numFmtId="0" fontId="29" fillId="45" borderId="0" xfId="0" applyFont="1" applyFill="1" applyAlignment="1">
      <alignment horizontal="left" vertical="center"/>
    </xf>
    <xf numFmtId="0" fontId="20" fillId="45" borderId="0" xfId="0" applyFont="1" applyFill="1" applyAlignment="1">
      <alignment vertical="top" wrapText="1"/>
    </xf>
    <xf numFmtId="0" fontId="29" fillId="46" borderId="0" xfId="0" applyFont="1" applyFill="1" applyAlignment="1">
      <alignment vertical="top" wrapText="1"/>
    </xf>
    <xf numFmtId="0" fontId="0" fillId="46" borderId="0" xfId="0" applyFill="1"/>
    <xf numFmtId="0" fontId="29" fillId="46" borderId="0" xfId="0" applyFont="1" applyFill="1" applyAlignment="1">
      <alignment vertical="center"/>
    </xf>
    <xf numFmtId="0" fontId="29" fillId="46" borderId="0" xfId="0" applyFont="1" applyFill="1" applyAlignment="1">
      <alignment horizontal="left" vertical="center"/>
    </xf>
    <xf numFmtId="0" fontId="20" fillId="46" borderId="0" xfId="0" applyFont="1" applyFill="1" applyAlignment="1">
      <alignment vertical="top" wrapText="1"/>
    </xf>
    <xf numFmtId="0" fontId="30" fillId="46" borderId="0" xfId="0" applyFont="1" applyFill="1" applyAlignment="1">
      <alignment vertical="center"/>
    </xf>
    <xf numFmtId="0" fontId="26" fillId="38" borderId="52" xfId="0" applyFont="1" applyFill="1" applyBorder="1" applyAlignment="1">
      <alignment horizontal="center" textRotation="90" wrapText="1"/>
    </xf>
    <xf numFmtId="0" fontId="31" fillId="0" borderId="0" xfId="0" applyFont="1" applyAlignment="1">
      <alignment horizontal="center" vertical="center"/>
    </xf>
    <xf numFmtId="0" fontId="16" fillId="0" borderId="0" xfId="0" applyFont="1"/>
    <xf numFmtId="0" fontId="0" fillId="0" borderId="53" xfId="0" applyBorder="1" applyAlignment="1">
      <alignment horizontal="center"/>
    </xf>
    <xf numFmtId="0" fontId="20" fillId="0" borderId="51" xfId="0" applyFont="1" applyBorder="1" applyAlignment="1">
      <alignment vertical="top" wrapText="1"/>
    </xf>
    <xf numFmtId="2" fontId="0" fillId="0" borderId="53" xfId="0" applyNumberFormat="1" applyFill="1" applyBorder="1" applyAlignment="1">
      <alignment horizontal="center"/>
    </xf>
    <xf numFmtId="2" fontId="0" fillId="0" borderId="59" xfId="0" applyNumberFormat="1" applyFill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0" xfId="0" applyNumberFormat="1" applyFill="1" applyBorder="1" applyAlignment="1">
      <alignment horizontal="center"/>
    </xf>
    <xf numFmtId="0" fontId="0" fillId="47" borderId="0" xfId="0" applyFill="1" applyAlignment="1">
      <alignment horizontal="center"/>
    </xf>
    <xf numFmtId="1" fontId="0" fillId="0" borderId="59" xfId="0" applyNumberForma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61" xfId="0" applyNumberFormat="1" applyBorder="1" applyAlignment="1">
      <alignment horizontal="center"/>
    </xf>
    <xf numFmtId="1" fontId="0" fillId="0" borderId="62" xfId="0" applyNumberFormat="1" applyBorder="1" applyAlignment="1">
      <alignment horizontal="center"/>
    </xf>
    <xf numFmtId="1" fontId="0" fillId="0" borderId="63" xfId="0" applyNumberFormat="1" applyBorder="1" applyAlignment="1">
      <alignment horizontal="center"/>
    </xf>
    <xf numFmtId="1" fontId="0" fillId="0" borderId="59" xfId="0" applyNumberFormat="1" applyFill="1" applyBorder="1" applyAlignment="1">
      <alignment horizontal="center"/>
    </xf>
    <xf numFmtId="1" fontId="0" fillId="48" borderId="53" xfId="0" applyNumberFormat="1" applyFill="1" applyBorder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26" fillId="38" borderId="0" xfId="0" applyFont="1" applyFill="1" applyBorder="1" applyAlignment="1">
      <alignment horizontal="center" textRotation="90" wrapText="1"/>
    </xf>
    <xf numFmtId="0" fontId="35" fillId="38" borderId="0" xfId="0" applyFont="1" applyFill="1" applyBorder="1" applyAlignment="1">
      <alignment horizontal="center" textRotation="90" wrapText="1"/>
    </xf>
    <xf numFmtId="0" fontId="35" fillId="38" borderId="0" xfId="0" quotePrefix="1" applyFont="1" applyFill="1" applyBorder="1" applyAlignment="1">
      <alignment horizontal="center" wrapText="1"/>
    </xf>
    <xf numFmtId="0" fontId="35" fillId="38" borderId="0" xfId="0" quotePrefix="1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35" fillId="37" borderId="0" xfId="0" quotePrefix="1" applyFont="1" applyFill="1" applyBorder="1" applyAlignment="1">
      <alignment horizontal="left" wrapText="1"/>
    </xf>
    <xf numFmtId="1" fontId="0" fillId="37" borderId="59" xfId="0" applyNumberFormat="1" applyFill="1" applyBorder="1" applyAlignment="1">
      <alignment horizontal="center"/>
    </xf>
    <xf numFmtId="1" fontId="0" fillId="37" borderId="44" xfId="0" applyNumberFormat="1" applyFill="1" applyBorder="1" applyAlignment="1">
      <alignment horizontal="center"/>
    </xf>
    <xf numFmtId="0" fontId="0" fillId="37" borderId="53" xfId="0" applyFill="1" applyBorder="1" applyAlignment="1">
      <alignment horizontal="center"/>
    </xf>
    <xf numFmtId="1" fontId="0" fillId="37" borderId="38" xfId="0" applyNumberFormat="1" applyFill="1" applyBorder="1" applyAlignment="1">
      <alignment horizontal="center"/>
    </xf>
    <xf numFmtId="1" fontId="0" fillId="37" borderId="60" xfId="0" applyNumberFormat="1" applyFill="1" applyBorder="1" applyAlignment="1">
      <alignment horizontal="center"/>
    </xf>
    <xf numFmtId="1" fontId="0" fillId="37" borderId="64" xfId="0" applyNumberFormat="1" applyFill="1" applyBorder="1" applyAlignment="1">
      <alignment horizontal="center"/>
    </xf>
    <xf numFmtId="0" fontId="0" fillId="37" borderId="60" xfId="0" applyFill="1" applyBorder="1" applyAlignment="1">
      <alignment horizontal="center"/>
    </xf>
    <xf numFmtId="1" fontId="0" fillId="37" borderId="53" xfId="0" applyNumberFormat="1" applyFill="1" applyBorder="1" applyAlignment="1">
      <alignment horizontal="center"/>
    </xf>
    <xf numFmtId="1" fontId="0" fillId="37" borderId="0" xfId="0" applyNumberFormat="1" applyFill="1" applyBorder="1" applyAlignment="1">
      <alignment horizontal="center"/>
    </xf>
    <xf numFmtId="1" fontId="0" fillId="37" borderId="42" xfId="0" applyNumberFormat="1" applyFill="1" applyBorder="1" applyAlignment="1">
      <alignment horizontal="center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2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right" vertical="center" wrapText="1"/>
    </xf>
    <xf numFmtId="0" fontId="22" fillId="33" borderId="31" xfId="0" applyFont="1" applyFill="1" applyBorder="1" applyAlignment="1">
      <alignment horizontal="right" vertical="center" wrapText="1"/>
    </xf>
    <xf numFmtId="0" fontId="22" fillId="33" borderId="36" xfId="0" applyFont="1" applyFill="1" applyBorder="1" applyAlignment="1">
      <alignment horizontal="center" vertical="center" wrapText="1"/>
    </xf>
    <xf numFmtId="0" fontId="22" fillId="33" borderId="37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44" borderId="0" xfId="0" applyFont="1" applyFill="1" applyAlignment="1">
      <alignment horizontal="center" vertical="top" wrapText="1"/>
    </xf>
    <xf numFmtId="0" fontId="19" fillId="46" borderId="0" xfId="0" applyFont="1" applyFill="1" applyAlignment="1">
      <alignment horizontal="center" vertical="top" wrapText="1"/>
    </xf>
    <xf numFmtId="0" fontId="19" fillId="45" borderId="49" xfId="0" applyFont="1" applyFill="1" applyBorder="1" applyAlignment="1">
      <alignment horizontal="center" vertical="top" wrapText="1"/>
    </xf>
    <xf numFmtId="0" fontId="19" fillId="45" borderId="50" xfId="0" applyFont="1" applyFill="1" applyBorder="1" applyAlignment="1">
      <alignment horizontal="center" vertical="top" wrapText="1"/>
    </xf>
    <xf numFmtId="0" fontId="19" fillId="45" borderId="0" xfId="0" applyFont="1" applyFill="1" applyAlignment="1">
      <alignment horizontal="center" vertical="top" wrapText="1"/>
    </xf>
    <xf numFmtId="2" fontId="23" fillId="34" borderId="30" xfId="0" applyNumberFormat="1" applyFont="1" applyFill="1" applyBorder="1" applyAlignment="1">
      <alignment horizontal="right" vertical="center" wrapText="1"/>
    </xf>
    <xf numFmtId="0" fontId="22" fillId="33" borderId="32" xfId="0" applyFont="1" applyFill="1" applyBorder="1" applyAlignment="1">
      <alignment horizontal="center" vertical="center"/>
    </xf>
    <xf numFmtId="0" fontId="22" fillId="33" borderId="28" xfId="0" applyFont="1" applyFill="1" applyBorder="1" applyAlignment="1">
      <alignment horizontal="center" vertical="center"/>
    </xf>
    <xf numFmtId="9" fontId="0" fillId="40" borderId="44" xfId="0" applyNumberFormat="1" applyFill="1" applyBorder="1" applyAlignment="1">
      <alignment horizontal="center"/>
    </xf>
    <xf numFmtId="2" fontId="20" fillId="44" borderId="0" xfId="0" applyNumberFormat="1" applyFont="1" applyFill="1" applyAlignment="1">
      <alignment vertical="top" wrapText="1"/>
    </xf>
    <xf numFmtId="0" fontId="30" fillId="0" borderId="0" xfId="0" applyFont="1" applyFill="1" applyAlignment="1">
      <alignment vertical="center"/>
    </xf>
    <xf numFmtId="0" fontId="32" fillId="50" borderId="55" xfId="0" applyFont="1" applyFill="1" applyBorder="1" applyAlignment="1">
      <alignment horizontal="left" vertical="center" wrapText="1"/>
    </xf>
    <xf numFmtId="0" fontId="32" fillId="50" borderId="54" xfId="0" applyFont="1" applyFill="1" applyBorder="1" applyAlignment="1">
      <alignment horizontal="left" vertical="center" wrapText="1"/>
    </xf>
    <xf numFmtId="0" fontId="33" fillId="50" borderId="5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/>
    </xf>
    <xf numFmtId="0" fontId="32" fillId="50" borderId="0" xfId="0" quotePrefix="1" applyFont="1" applyFill="1" applyBorder="1" applyAlignment="1">
      <alignment horizontal="left" vertical="center" wrapText="1"/>
    </xf>
    <xf numFmtId="0" fontId="36" fillId="0" borderId="0" xfId="0" quotePrefix="1" applyFont="1" applyFill="1" applyBorder="1"/>
    <xf numFmtId="0" fontId="34" fillId="0" borderId="56" xfId="0" applyFont="1" applyFill="1" applyBorder="1" applyAlignment="1">
      <alignment vertical="center" wrapText="1"/>
    </xf>
    <xf numFmtId="3" fontId="37" fillId="0" borderId="57" xfId="0" applyNumberFormat="1" applyFont="1" applyFill="1" applyBorder="1" applyAlignment="1">
      <alignment horizontal="right"/>
    </xf>
    <xf numFmtId="9" fontId="38" fillId="0" borderId="54" xfId="0" applyNumberFormat="1" applyFont="1" applyFill="1" applyBorder="1"/>
    <xf numFmtId="9" fontId="36" fillId="0" borderId="0" xfId="0" applyNumberFormat="1" applyFont="1" applyFill="1" applyBorder="1" applyAlignment="1"/>
    <xf numFmtId="1" fontId="36" fillId="0" borderId="0" xfId="0" applyNumberFormat="1" applyFont="1" applyFill="1" applyBorder="1"/>
    <xf numFmtId="0" fontId="34" fillId="0" borderId="56" xfId="0" applyFont="1" applyFill="1" applyBorder="1" applyAlignment="1">
      <alignment vertical="center"/>
    </xf>
    <xf numFmtId="0" fontId="36" fillId="0" borderId="0" xfId="0" applyFont="1" applyFill="1" applyBorder="1"/>
    <xf numFmtId="0" fontId="34" fillId="0" borderId="0" xfId="0" applyFont="1" applyFill="1" applyBorder="1" applyAlignment="1">
      <alignment vertical="center"/>
    </xf>
    <xf numFmtId="3" fontId="0" fillId="0" borderId="0" xfId="0" applyNumberFormat="1"/>
    <xf numFmtId="0" fontId="16" fillId="0" borderId="67" xfId="0" applyFont="1" applyBorder="1" applyAlignment="1">
      <alignment horizontal="center" vertical="top" wrapText="1"/>
    </xf>
    <xf numFmtId="3" fontId="0" fillId="0" borderId="68" xfId="0" applyNumberFormat="1" applyBorder="1"/>
    <xf numFmtId="3" fontId="0" fillId="0" borderId="69" xfId="0" applyNumberFormat="1" applyBorder="1"/>
    <xf numFmtId="0" fontId="16" fillId="0" borderId="70" xfId="0" applyFont="1" applyBorder="1" applyAlignment="1">
      <alignment horizontal="center" vertical="top" wrapText="1"/>
    </xf>
    <xf numFmtId="3" fontId="0" fillId="0" borderId="70" xfId="0" applyNumberFormat="1" applyBorder="1"/>
    <xf numFmtId="0" fontId="26" fillId="38" borderId="0" xfId="0" quotePrefix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top" wrapText="1"/>
    </xf>
    <xf numFmtId="0" fontId="19" fillId="35" borderId="0" xfId="0" applyFont="1" applyFill="1" applyBorder="1" applyAlignment="1">
      <alignment horizontal="center" vertical="top" wrapText="1"/>
    </xf>
    <xf numFmtId="9" fontId="0" fillId="45" borderId="44" xfId="0" applyNumberFormat="1" applyFill="1" applyBorder="1" applyAlignment="1">
      <alignment horizontal="center" vertical="center"/>
    </xf>
    <xf numFmtId="9" fontId="0" fillId="45" borderId="0" xfId="0" applyNumberFormat="1" applyFill="1" applyBorder="1" applyAlignment="1">
      <alignment horizontal="center" vertical="center"/>
    </xf>
    <xf numFmtId="9" fontId="0" fillId="45" borderId="42" xfId="0" applyNumberFormat="1" applyFill="1" applyBorder="1" applyAlignment="1">
      <alignment horizontal="center" vertical="center"/>
    </xf>
    <xf numFmtId="9" fontId="0" fillId="46" borderId="44" xfId="0" applyNumberFormat="1" applyFill="1" applyBorder="1" applyAlignment="1">
      <alignment horizontal="center" vertical="center"/>
    </xf>
    <xf numFmtId="9" fontId="0" fillId="46" borderId="0" xfId="0" applyNumberFormat="1" applyFill="1" applyBorder="1" applyAlignment="1">
      <alignment horizontal="center" vertical="center"/>
    </xf>
    <xf numFmtId="9" fontId="0" fillId="46" borderId="42" xfId="0" applyNumberFormat="1" applyFill="1" applyBorder="1" applyAlignment="1">
      <alignment horizontal="center" vertical="center"/>
    </xf>
    <xf numFmtId="0" fontId="0" fillId="45" borderId="12" xfId="0" applyFill="1" applyBorder="1" applyAlignment="1">
      <alignment horizontal="left" vertical="center"/>
    </xf>
    <xf numFmtId="0" fontId="0" fillId="45" borderId="39" xfId="0" applyFill="1" applyBorder="1" applyAlignment="1">
      <alignment horizontal="left" vertical="center"/>
    </xf>
    <xf numFmtId="0" fontId="0" fillId="45" borderId="41" xfId="0" applyFill="1" applyBorder="1" applyAlignment="1">
      <alignment horizontal="left" vertical="center"/>
    </xf>
    <xf numFmtId="0" fontId="0" fillId="46" borderId="12" xfId="0" applyFill="1" applyBorder="1" applyAlignment="1">
      <alignment horizontal="left" vertical="center"/>
    </xf>
    <xf numFmtId="0" fontId="0" fillId="46" borderId="39" xfId="0" applyFill="1" applyBorder="1" applyAlignment="1">
      <alignment horizontal="left" vertical="center"/>
    </xf>
    <xf numFmtId="0" fontId="0" fillId="46" borderId="41" xfId="0" applyFill="1" applyBorder="1" applyAlignment="1">
      <alignment horizontal="left" vertical="center"/>
    </xf>
    <xf numFmtId="9" fontId="0" fillId="44" borderId="0" xfId="42" applyFont="1" applyFill="1" applyBorder="1" applyAlignment="1">
      <alignment horizontal="center" vertical="center"/>
    </xf>
    <xf numFmtId="9" fontId="0" fillId="44" borderId="42" xfId="42" applyFont="1" applyFill="1" applyBorder="1" applyAlignment="1">
      <alignment horizontal="center" vertical="center"/>
    </xf>
    <xf numFmtId="0" fontId="0" fillId="44" borderId="39" xfId="0" applyFill="1" applyBorder="1" applyAlignment="1">
      <alignment horizontal="left" vertical="center"/>
    </xf>
    <xf numFmtId="0" fontId="0" fillId="44" borderId="41" xfId="0" applyFill="1" applyBorder="1" applyAlignment="1">
      <alignment horizontal="left" vertical="center"/>
    </xf>
    <xf numFmtId="9" fontId="0" fillId="41" borderId="0" xfId="42" applyFont="1" applyFill="1" applyBorder="1" applyAlignment="1">
      <alignment horizontal="center" vertical="center"/>
    </xf>
    <xf numFmtId="9" fontId="0" fillId="41" borderId="42" xfId="42" applyFont="1" applyFill="1" applyBorder="1" applyAlignment="1">
      <alignment horizontal="center" vertical="center"/>
    </xf>
    <xf numFmtId="0" fontId="0" fillId="41" borderId="12" xfId="0" applyFill="1" applyBorder="1" applyAlignment="1">
      <alignment horizontal="left" vertical="center"/>
    </xf>
    <xf numFmtId="0" fontId="0" fillId="41" borderId="39" xfId="0" applyFill="1" applyBorder="1" applyAlignment="1">
      <alignment horizontal="left" vertical="center"/>
    </xf>
    <xf numFmtId="0" fontId="0" fillId="41" borderId="41" xfId="0" applyFill="1" applyBorder="1" applyAlignment="1">
      <alignment horizontal="left" vertical="center"/>
    </xf>
    <xf numFmtId="165" fontId="41" fillId="39" borderId="45" xfId="0" applyNumberFormat="1" applyFont="1" applyFill="1" applyBorder="1" applyAlignment="1">
      <alignment horizontal="center"/>
    </xf>
    <xf numFmtId="165" fontId="41" fillId="39" borderId="40" xfId="0" applyNumberFormat="1" applyFont="1" applyFill="1" applyBorder="1" applyAlignment="1">
      <alignment horizontal="center"/>
    </xf>
    <xf numFmtId="0" fontId="0" fillId="39" borderId="0" xfId="0" applyFill="1" applyBorder="1"/>
    <xf numFmtId="0" fontId="0" fillId="39" borderId="40" xfId="0" applyFill="1" applyBorder="1"/>
    <xf numFmtId="0" fontId="0" fillId="39" borderId="41" xfId="0" applyFill="1" applyBorder="1"/>
    <xf numFmtId="0" fontId="0" fillId="39" borderId="42" xfId="0" applyFill="1" applyBorder="1"/>
    <xf numFmtId="0" fontId="0" fillId="39" borderId="11" xfId="0" applyFill="1" applyBorder="1"/>
    <xf numFmtId="0" fontId="42" fillId="38" borderId="71" xfId="0" applyFont="1" applyFill="1" applyBorder="1" applyAlignment="1">
      <alignment horizontal="center" textRotation="90" wrapText="1"/>
    </xf>
    <xf numFmtId="0" fontId="16" fillId="0" borderId="0" xfId="0" applyFont="1" applyAlignment="1">
      <alignment horizontal="center" textRotation="90" wrapText="1"/>
    </xf>
    <xf numFmtId="165" fontId="41" fillId="39" borderId="48" xfId="0" applyNumberFormat="1" applyFont="1" applyFill="1" applyBorder="1"/>
    <xf numFmtId="0" fontId="0" fillId="39" borderId="46" xfId="0" applyFill="1" applyBorder="1"/>
    <xf numFmtId="165" fontId="41" fillId="40" borderId="48" xfId="0" applyNumberFormat="1" applyFont="1" applyFill="1" applyBorder="1"/>
    <xf numFmtId="0" fontId="0" fillId="40" borderId="46" xfId="0" applyFill="1" applyBorder="1"/>
    <xf numFmtId="165" fontId="41" fillId="40" borderId="0" xfId="0" applyNumberFormat="1" applyFont="1" applyFill="1" applyBorder="1"/>
    <xf numFmtId="0" fontId="0" fillId="40" borderId="44" xfId="0" applyFill="1" applyBorder="1"/>
    <xf numFmtId="0" fontId="0" fillId="40" borderId="45" xfId="0" applyFill="1" applyBorder="1"/>
    <xf numFmtId="165" fontId="41" fillId="44" borderId="40" xfId="43" applyNumberFormat="1" applyFont="1" applyFill="1" applyBorder="1" applyAlignment="1">
      <alignment horizontal="right" vertical="center"/>
    </xf>
    <xf numFmtId="165" fontId="41" fillId="44" borderId="68" xfId="0" applyNumberFormat="1" applyFont="1" applyFill="1" applyBorder="1" applyAlignment="1">
      <alignment horizontal="right"/>
    </xf>
    <xf numFmtId="165" fontId="41" fillId="44" borderId="11" xfId="43" applyNumberFormat="1" applyFont="1" applyFill="1" applyBorder="1" applyAlignment="1">
      <alignment horizontal="right" vertical="center"/>
    </xf>
    <xf numFmtId="165" fontId="41" fillId="44" borderId="69" xfId="0" applyNumberFormat="1" applyFont="1" applyFill="1" applyBorder="1" applyAlignment="1">
      <alignment horizontal="right"/>
    </xf>
    <xf numFmtId="165" fontId="41" fillId="41" borderId="45" xfId="43" applyNumberFormat="1" applyFont="1" applyFill="1" applyBorder="1" applyAlignment="1">
      <alignment horizontal="right" vertical="center"/>
    </xf>
    <xf numFmtId="165" fontId="41" fillId="41" borderId="39" xfId="0" applyNumberFormat="1" applyFont="1" applyFill="1" applyBorder="1" applyAlignment="1">
      <alignment horizontal="right"/>
    </xf>
    <xf numFmtId="165" fontId="41" fillId="41" borderId="40" xfId="43" applyNumberFormat="1" applyFont="1" applyFill="1" applyBorder="1" applyAlignment="1">
      <alignment horizontal="right" vertical="center"/>
    </xf>
    <xf numFmtId="165" fontId="41" fillId="40" borderId="42" xfId="0" applyNumberFormat="1" applyFont="1" applyFill="1" applyBorder="1"/>
    <xf numFmtId="165" fontId="41" fillId="41" borderId="11" xfId="43" applyNumberFormat="1" applyFont="1" applyFill="1" applyBorder="1" applyAlignment="1">
      <alignment horizontal="right" vertical="center"/>
    </xf>
    <xf numFmtId="165" fontId="41" fillId="41" borderId="41" xfId="0" applyNumberFormat="1" applyFont="1" applyFill="1" applyBorder="1" applyAlignment="1">
      <alignment horizontal="right"/>
    </xf>
    <xf numFmtId="0" fontId="0" fillId="40" borderId="12" xfId="0" applyFill="1" applyBorder="1"/>
    <xf numFmtId="165" fontId="41" fillId="40" borderId="44" xfId="0" applyNumberFormat="1" applyFont="1" applyFill="1" applyBorder="1"/>
    <xf numFmtId="165" fontId="41" fillId="45" borderId="44" xfId="0" applyNumberFormat="1" applyFont="1" applyFill="1" applyBorder="1" applyAlignment="1">
      <alignment horizontal="right" vertical="center"/>
    </xf>
    <xf numFmtId="165" fontId="41" fillId="45" borderId="44" xfId="0" applyNumberFormat="1" applyFont="1" applyFill="1" applyBorder="1" applyAlignment="1">
      <alignment horizontal="right"/>
    </xf>
    <xf numFmtId="165" fontId="41" fillId="45" borderId="0" xfId="0" applyNumberFormat="1" applyFont="1" applyFill="1" applyBorder="1" applyAlignment="1">
      <alignment horizontal="right" vertical="center"/>
    </xf>
    <xf numFmtId="165" fontId="41" fillId="45" borderId="0" xfId="0" applyNumberFormat="1" applyFont="1" applyFill="1" applyBorder="1" applyAlignment="1">
      <alignment horizontal="right"/>
    </xf>
    <xf numFmtId="165" fontId="41" fillId="45" borderId="42" xfId="0" applyNumberFormat="1" applyFont="1" applyFill="1" applyBorder="1" applyAlignment="1">
      <alignment horizontal="right" vertical="center"/>
    </xf>
    <xf numFmtId="165" fontId="41" fillId="45" borderId="42" xfId="0" applyNumberFormat="1" applyFont="1" applyFill="1" applyBorder="1" applyAlignment="1">
      <alignment horizontal="right"/>
    </xf>
    <xf numFmtId="165" fontId="41" fillId="46" borderId="45" xfId="0" applyNumberFormat="1" applyFont="1" applyFill="1" applyBorder="1" applyAlignment="1">
      <alignment horizontal="right" vertical="center"/>
    </xf>
    <xf numFmtId="165" fontId="41" fillId="46" borderId="12" xfId="0" applyNumberFormat="1" applyFont="1" applyFill="1" applyBorder="1" applyAlignment="1">
      <alignment horizontal="right"/>
    </xf>
    <xf numFmtId="165" fontId="41" fillId="46" borderId="40" xfId="0" applyNumberFormat="1" applyFont="1" applyFill="1" applyBorder="1" applyAlignment="1">
      <alignment horizontal="right" vertical="center"/>
    </xf>
    <xf numFmtId="165" fontId="41" fillId="46" borderId="39" xfId="0" applyNumberFormat="1" applyFont="1" applyFill="1" applyBorder="1" applyAlignment="1">
      <alignment horizontal="right"/>
    </xf>
    <xf numFmtId="165" fontId="41" fillId="46" borderId="11" xfId="0" applyNumberFormat="1" applyFont="1" applyFill="1" applyBorder="1" applyAlignment="1">
      <alignment horizontal="right" vertical="center"/>
    </xf>
    <xf numFmtId="165" fontId="41" fillId="46" borderId="41" xfId="0" applyNumberFormat="1" applyFont="1" applyFill="1" applyBorder="1" applyAlignment="1">
      <alignment horizontal="right"/>
    </xf>
    <xf numFmtId="0" fontId="0" fillId="42" borderId="48" xfId="0" applyFill="1" applyBorder="1"/>
    <xf numFmtId="0" fontId="0" fillId="0" borderId="47" xfId="0" applyBorder="1"/>
    <xf numFmtId="9" fontId="0" fillId="0" borderId="48" xfId="0" applyNumberFormat="1" applyBorder="1" applyAlignment="1">
      <alignment horizontal="center"/>
    </xf>
    <xf numFmtId="165" fontId="41" fillId="0" borderId="48" xfId="0" applyNumberFormat="1" applyFont="1" applyBorder="1" applyAlignment="1">
      <alignment horizontal="right"/>
    </xf>
    <xf numFmtId="0" fontId="0" fillId="0" borderId="48" xfId="0" applyBorder="1"/>
    <xf numFmtId="0" fontId="0" fillId="0" borderId="48" xfId="0" applyBorder="1" applyAlignment="1">
      <alignment horizontal="center"/>
    </xf>
    <xf numFmtId="0" fontId="41" fillId="0" borderId="48" xfId="0" applyFont="1" applyBorder="1"/>
    <xf numFmtId="0" fontId="26" fillId="38" borderId="71" xfId="0" applyFont="1" applyFill="1" applyBorder="1" applyAlignment="1">
      <alignment horizontal="center" textRotation="90" wrapText="1"/>
    </xf>
    <xf numFmtId="0" fontId="42" fillId="38" borderId="0" xfId="0" applyFont="1" applyFill="1" applyBorder="1" applyAlignment="1">
      <alignment horizontal="center" textRotation="90" wrapText="1"/>
    </xf>
    <xf numFmtId="9" fontId="0" fillId="39" borderId="47" xfId="42" applyFont="1" applyFill="1" applyBorder="1" applyAlignment="1">
      <alignment horizontal="center"/>
    </xf>
    <xf numFmtId="166" fontId="41" fillId="39" borderId="46" xfId="42" applyNumberFormat="1" applyFont="1" applyFill="1" applyBorder="1" applyAlignment="1">
      <alignment horizontal="right"/>
    </xf>
    <xf numFmtId="0" fontId="0" fillId="49" borderId="48" xfId="0" applyFill="1" applyBorder="1"/>
    <xf numFmtId="9" fontId="0" fillId="40" borderId="47" xfId="42" applyFont="1" applyFill="1" applyBorder="1" applyAlignment="1">
      <alignment horizontal="center"/>
    </xf>
    <xf numFmtId="166" fontId="41" fillId="40" borderId="46" xfId="42" applyNumberFormat="1" applyFont="1" applyFill="1" applyBorder="1" applyAlignment="1">
      <alignment horizontal="right"/>
    </xf>
    <xf numFmtId="164" fontId="0" fillId="44" borderId="39" xfId="0" applyNumberFormat="1" applyFill="1" applyBorder="1" applyAlignment="1">
      <alignment horizontal="center" vertical="center"/>
    </xf>
    <xf numFmtId="166" fontId="41" fillId="44" borderId="45" xfId="0" applyNumberFormat="1" applyFont="1" applyFill="1" applyBorder="1" applyAlignment="1">
      <alignment horizontal="right" vertical="center"/>
    </xf>
    <xf numFmtId="166" fontId="41" fillId="44" borderId="40" xfId="0" applyNumberFormat="1" applyFont="1" applyFill="1" applyBorder="1" applyAlignment="1">
      <alignment horizontal="right" vertical="center"/>
    </xf>
    <xf numFmtId="164" fontId="0" fillId="44" borderId="41" xfId="0" applyNumberFormat="1" applyFill="1" applyBorder="1" applyAlignment="1">
      <alignment horizontal="center" vertical="center"/>
    </xf>
    <xf numFmtId="166" fontId="41" fillId="44" borderId="11" xfId="0" applyNumberFormat="1" applyFont="1" applyFill="1" applyBorder="1" applyAlignment="1">
      <alignment horizontal="right" vertical="center"/>
    </xf>
    <xf numFmtId="164" fontId="0" fillId="41" borderId="12" xfId="0" applyNumberFormat="1" applyFill="1" applyBorder="1" applyAlignment="1">
      <alignment horizontal="center" vertical="center"/>
    </xf>
    <xf numFmtId="166" fontId="41" fillId="41" borderId="45" xfId="0" applyNumberFormat="1" applyFont="1" applyFill="1" applyBorder="1" applyAlignment="1">
      <alignment horizontal="right" vertical="center"/>
    </xf>
    <xf numFmtId="164" fontId="0" fillId="41" borderId="39" xfId="0" applyNumberFormat="1" applyFill="1" applyBorder="1" applyAlignment="1">
      <alignment horizontal="center" vertical="center"/>
    </xf>
    <xf numFmtId="166" fontId="41" fillId="41" borderId="40" xfId="0" applyNumberFormat="1" applyFont="1" applyFill="1" applyBorder="1" applyAlignment="1">
      <alignment horizontal="right" vertical="center"/>
    </xf>
    <xf numFmtId="164" fontId="0" fillId="41" borderId="41" xfId="0" applyNumberFormat="1" applyFill="1" applyBorder="1" applyAlignment="1">
      <alignment horizontal="center" vertical="center"/>
    </xf>
    <xf numFmtId="166" fontId="41" fillId="41" borderId="11" xfId="0" applyNumberFormat="1" applyFont="1" applyFill="1" applyBorder="1" applyAlignment="1">
      <alignment horizontal="right" vertical="center"/>
    </xf>
    <xf numFmtId="164" fontId="0" fillId="45" borderId="12" xfId="0" applyNumberFormat="1" applyFill="1" applyBorder="1" applyAlignment="1">
      <alignment horizontal="center" vertical="center"/>
    </xf>
    <xf numFmtId="166" fontId="41" fillId="45" borderId="45" xfId="0" applyNumberFormat="1" applyFont="1" applyFill="1" applyBorder="1" applyAlignment="1">
      <alignment horizontal="right" vertical="center"/>
    </xf>
    <xf numFmtId="164" fontId="0" fillId="45" borderId="39" xfId="0" applyNumberFormat="1" applyFill="1" applyBorder="1" applyAlignment="1">
      <alignment horizontal="center" vertical="center"/>
    </xf>
    <xf numFmtId="166" fontId="41" fillId="45" borderId="40" xfId="0" applyNumberFormat="1" applyFont="1" applyFill="1" applyBorder="1" applyAlignment="1">
      <alignment horizontal="right" vertical="center"/>
    </xf>
    <xf numFmtId="164" fontId="0" fillId="45" borderId="41" xfId="0" applyNumberFormat="1" applyFill="1" applyBorder="1" applyAlignment="1">
      <alignment horizontal="center" vertical="center"/>
    </xf>
    <xf numFmtId="166" fontId="41" fillId="45" borderId="11" xfId="0" applyNumberFormat="1" applyFont="1" applyFill="1" applyBorder="1" applyAlignment="1">
      <alignment horizontal="right" vertical="center"/>
    </xf>
    <xf numFmtId="164" fontId="0" fillId="46" borderId="12" xfId="0" applyNumberFormat="1" applyFill="1" applyBorder="1" applyAlignment="1">
      <alignment horizontal="center" vertical="center"/>
    </xf>
    <xf numFmtId="166" fontId="41" fillId="46" borderId="45" xfId="0" applyNumberFormat="1" applyFont="1" applyFill="1" applyBorder="1" applyAlignment="1">
      <alignment horizontal="right" vertical="center"/>
    </xf>
    <xf numFmtId="164" fontId="0" fillId="46" borderId="39" xfId="0" applyNumberFormat="1" applyFill="1" applyBorder="1" applyAlignment="1">
      <alignment horizontal="center" vertical="center"/>
    </xf>
    <xf numFmtId="166" fontId="41" fillId="46" borderId="40" xfId="0" applyNumberFormat="1" applyFont="1" applyFill="1" applyBorder="1" applyAlignment="1">
      <alignment horizontal="right" vertical="center"/>
    </xf>
    <xf numFmtId="164" fontId="0" fillId="46" borderId="41" xfId="0" applyNumberFormat="1" applyFill="1" applyBorder="1" applyAlignment="1">
      <alignment horizontal="center" vertical="center"/>
    </xf>
    <xf numFmtId="166" fontId="41" fillId="46" borderId="11" xfId="0" applyNumberFormat="1" applyFont="1" applyFill="1" applyBorder="1" applyAlignment="1">
      <alignment horizontal="right" vertical="center"/>
    </xf>
    <xf numFmtId="164" fontId="0" fillId="0" borderId="47" xfId="0" applyNumberFormat="1" applyBorder="1" applyAlignment="1">
      <alignment horizontal="center"/>
    </xf>
    <xf numFmtId="0" fontId="42" fillId="38" borderId="52" xfId="0" applyFont="1" applyFill="1" applyBorder="1" applyAlignment="1">
      <alignment horizontal="center" textRotation="90" wrapText="1"/>
    </xf>
    <xf numFmtId="2" fontId="41" fillId="0" borderId="53" xfId="0" applyNumberFormat="1" applyFont="1" applyFill="1" applyBorder="1" applyAlignment="1">
      <alignment horizontal="center"/>
    </xf>
    <xf numFmtId="2" fontId="41" fillId="0" borderId="60" xfId="0" applyNumberFormat="1" applyFont="1" applyFill="1" applyBorder="1" applyAlignment="1">
      <alignment horizontal="center"/>
    </xf>
    <xf numFmtId="2" fontId="41" fillId="0" borderId="59" xfId="0" applyNumberFormat="1" applyFont="1" applyFill="1" applyBorder="1" applyAlignment="1">
      <alignment horizontal="center"/>
    </xf>
    <xf numFmtId="9" fontId="0" fillId="37" borderId="59" xfId="42" applyFont="1" applyFill="1" applyBorder="1" applyAlignment="1">
      <alignment horizontal="center"/>
    </xf>
    <xf numFmtId="9" fontId="0" fillId="37" borderId="53" xfId="42" applyFont="1" applyFill="1" applyBorder="1" applyAlignment="1">
      <alignment horizontal="center"/>
    </xf>
    <xf numFmtId="9" fontId="0" fillId="37" borderId="60" xfId="42" applyFont="1" applyFill="1" applyBorder="1" applyAlignment="1">
      <alignment horizontal="center"/>
    </xf>
    <xf numFmtId="166" fontId="41" fillId="42" borderId="44" xfId="42" applyNumberFormat="1" applyFont="1" applyFill="1" applyBorder="1" applyAlignment="1">
      <alignment horizontal="right"/>
    </xf>
    <xf numFmtId="166" fontId="41" fillId="42" borderId="0" xfId="0" applyNumberFormat="1" applyFont="1" applyFill="1" applyBorder="1" applyAlignment="1">
      <alignment horizontal="right"/>
    </xf>
    <xf numFmtId="165" fontId="41" fillId="42" borderId="0" xfId="0" applyNumberFormat="1" applyFont="1" applyFill="1" applyBorder="1" applyAlignment="1">
      <alignment horizontal="right"/>
    </xf>
    <xf numFmtId="166" fontId="41" fillId="42" borderId="48" xfId="42" applyNumberFormat="1" applyFont="1" applyFill="1" applyBorder="1" applyAlignment="1">
      <alignment horizontal="right"/>
    </xf>
    <xf numFmtId="166" fontId="41" fillId="0" borderId="45" xfId="0" applyNumberFormat="1" applyFont="1" applyFill="1" applyBorder="1" applyAlignment="1">
      <alignment horizontal="right" vertical="center"/>
    </xf>
    <xf numFmtId="166" fontId="41" fillId="0" borderId="46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9" fontId="16" fillId="0" borderId="47" xfId="42" applyFont="1" applyBorder="1" applyAlignment="1">
      <alignment horizontal="center" vertical="center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2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right" vertical="center" wrapText="1"/>
    </xf>
    <xf numFmtId="0" fontId="22" fillId="33" borderId="31" xfId="0" applyFont="1" applyFill="1" applyBorder="1" applyAlignment="1">
      <alignment horizontal="right" vertical="center" wrapText="1"/>
    </xf>
    <xf numFmtId="0" fontId="22" fillId="33" borderId="36" xfId="0" applyFont="1" applyFill="1" applyBorder="1" applyAlignment="1">
      <alignment horizontal="center" vertical="center" wrapText="1"/>
    </xf>
    <xf numFmtId="0" fontId="22" fillId="33" borderId="37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top" wrapText="1"/>
    </xf>
    <xf numFmtId="0" fontId="19" fillId="0" borderId="50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3" fontId="43" fillId="0" borderId="57" xfId="0" applyNumberFormat="1" applyFont="1" applyFill="1" applyBorder="1" applyAlignment="1">
      <alignment horizontal="right"/>
    </xf>
    <xf numFmtId="9" fontId="44" fillId="0" borderId="54" xfId="0" applyNumberFormat="1" applyFont="1" applyFill="1" applyBorder="1"/>
    <xf numFmtId="9" fontId="45" fillId="0" borderId="0" xfId="0" applyNumberFormat="1" applyFont="1" applyFill="1" applyBorder="1" applyAlignment="1"/>
    <xf numFmtId="0" fontId="45" fillId="0" borderId="0" xfId="0" quotePrefix="1" applyFont="1" applyFill="1" applyBorder="1"/>
    <xf numFmtId="1" fontId="45" fillId="0" borderId="0" xfId="0" applyNumberFormat="1" applyFont="1" applyFill="1" applyBorder="1"/>
    <xf numFmtId="0" fontId="45" fillId="0" borderId="0" xfId="0" applyFont="1" applyFill="1" applyBorder="1"/>
    <xf numFmtId="0" fontId="16" fillId="0" borderId="71" xfId="0" applyFont="1" applyBorder="1" applyAlignment="1">
      <alignment horizontal="center" textRotation="90" wrapText="1"/>
    </xf>
    <xf numFmtId="0" fontId="0" fillId="0" borderId="0" xfId="0" applyAlignment="1">
      <alignment wrapText="1"/>
    </xf>
    <xf numFmtId="0" fontId="0" fillId="0" borderId="71" xfId="0" applyBorder="1" applyAlignment="1">
      <alignment wrapText="1"/>
    </xf>
    <xf numFmtId="3" fontId="37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Font="1" applyBorder="1"/>
    <xf numFmtId="1" fontId="41" fillId="0" borderId="66" xfId="0" applyNumberFormat="1" applyFont="1" applyBorder="1" applyAlignment="1">
      <alignment horizontal="center"/>
    </xf>
    <xf numFmtId="1" fontId="41" fillId="0" borderId="58" xfId="0" applyNumberFormat="1" applyFont="1" applyBorder="1" applyAlignment="1">
      <alignment horizontal="center"/>
    </xf>
    <xf numFmtId="1" fontId="41" fillId="0" borderId="65" xfId="0" applyNumberFormat="1" applyFont="1" applyBorder="1" applyAlignment="1">
      <alignment horizontal="center"/>
    </xf>
    <xf numFmtId="1" fontId="41" fillId="0" borderId="59" xfId="0" applyNumberFormat="1" applyFont="1" applyBorder="1" applyAlignment="1">
      <alignment horizontal="center"/>
    </xf>
    <xf numFmtId="1" fontId="41" fillId="0" borderId="53" xfId="0" applyNumberFormat="1" applyFont="1" applyBorder="1" applyAlignment="1">
      <alignment horizontal="center"/>
    </xf>
    <xf numFmtId="1" fontId="41" fillId="0" borderId="60" xfId="0" applyNumberFormat="1" applyFont="1" applyBorder="1" applyAlignment="1">
      <alignment horizontal="center"/>
    </xf>
    <xf numFmtId="2" fontId="41" fillId="0" borderId="53" xfId="0" applyNumberFormat="1" applyFont="1" applyBorder="1" applyAlignment="1">
      <alignment horizontal="center"/>
    </xf>
    <xf numFmtId="1" fontId="41" fillId="0" borderId="59" xfId="0" applyNumberFormat="1" applyFont="1" applyFill="1" applyBorder="1" applyAlignment="1">
      <alignment horizontal="center"/>
    </xf>
    <xf numFmtId="1" fontId="41" fillId="48" borderId="53" xfId="0" applyNumberFormat="1" applyFont="1" applyFill="1" applyBorder="1" applyAlignment="1">
      <alignment horizontal="center"/>
    </xf>
    <xf numFmtId="2" fontId="41" fillId="0" borderId="59" xfId="0" applyNumberFormat="1" applyFont="1" applyFill="1" applyBorder="1" applyAlignment="1">
      <alignment horizontal="right"/>
    </xf>
    <xf numFmtId="2" fontId="41" fillId="0" borderId="53" xfId="0" applyNumberFormat="1" applyFont="1" applyFill="1" applyBorder="1" applyAlignment="1">
      <alignment horizontal="right"/>
    </xf>
    <xf numFmtId="2" fontId="41" fillId="0" borderId="60" xfId="0" applyNumberFormat="1" applyFont="1" applyFill="1" applyBorder="1" applyAlignment="1">
      <alignment horizontal="right"/>
    </xf>
    <xf numFmtId="0" fontId="41" fillId="0" borderId="53" xfId="0" applyFont="1" applyBorder="1" applyAlignment="1">
      <alignment horizontal="center"/>
    </xf>
    <xf numFmtId="0" fontId="41" fillId="0" borderId="60" xfId="0" applyFont="1" applyBorder="1" applyAlignment="1">
      <alignment horizontal="center"/>
    </xf>
    <xf numFmtId="1" fontId="41" fillId="0" borderId="73" xfId="0" applyNumberFormat="1" applyFont="1" applyBorder="1" applyAlignment="1">
      <alignment horizontal="center"/>
    </xf>
    <xf numFmtId="3" fontId="41" fillId="37" borderId="74" xfId="0" applyNumberFormat="1" applyFont="1" applyFill="1" applyBorder="1" applyAlignment="1">
      <alignment horizontal="center"/>
    </xf>
    <xf numFmtId="3" fontId="41" fillId="37" borderId="58" xfId="0" applyNumberFormat="1" applyFont="1" applyFill="1" applyBorder="1" applyAlignment="1">
      <alignment horizontal="center"/>
    </xf>
    <xf numFmtId="3" fontId="41" fillId="37" borderId="65" xfId="0" applyNumberFormat="1" applyFont="1" applyFill="1" applyBorder="1" applyAlignment="1">
      <alignment horizontal="center"/>
    </xf>
    <xf numFmtId="3" fontId="41" fillId="37" borderId="75" xfId="0" applyNumberFormat="1" applyFont="1" applyFill="1" applyBorder="1" applyAlignment="1">
      <alignment horizontal="center"/>
    </xf>
    <xf numFmtId="3" fontId="41" fillId="37" borderId="76" xfId="0" applyNumberFormat="1" applyFont="1" applyFill="1" applyBorder="1" applyAlignment="1">
      <alignment horizontal="center"/>
    </xf>
    <xf numFmtId="2" fontId="41" fillId="39" borderId="48" xfId="0" applyNumberFormat="1" applyFont="1" applyFill="1" applyBorder="1"/>
    <xf numFmtId="2" fontId="41" fillId="40" borderId="48" xfId="0" applyNumberFormat="1" applyFont="1" applyFill="1" applyBorder="1"/>
    <xf numFmtId="2" fontId="41" fillId="40" borderId="0" xfId="0" applyNumberFormat="1" applyFont="1" applyFill="1" applyBorder="1"/>
    <xf numFmtId="2" fontId="41" fillId="40" borderId="44" xfId="0" applyNumberFormat="1" applyFont="1" applyFill="1" applyBorder="1"/>
    <xf numFmtId="2" fontId="41" fillId="39" borderId="45" xfId="0" applyNumberFormat="1" applyFont="1" applyFill="1" applyBorder="1" applyAlignment="1">
      <alignment horizontal="center"/>
    </xf>
    <xf numFmtId="2" fontId="41" fillId="44" borderId="40" xfId="43" applyNumberFormat="1" applyFont="1" applyFill="1" applyBorder="1" applyAlignment="1">
      <alignment horizontal="right" vertical="center"/>
    </xf>
    <xf numFmtId="2" fontId="41" fillId="44" borderId="11" xfId="43" applyNumberFormat="1" applyFont="1" applyFill="1" applyBorder="1" applyAlignment="1">
      <alignment horizontal="right" vertical="center"/>
    </xf>
    <xf numFmtId="2" fontId="41" fillId="45" borderId="44" xfId="0" applyNumberFormat="1" applyFont="1" applyFill="1" applyBorder="1" applyAlignment="1">
      <alignment horizontal="right" vertical="center"/>
    </xf>
    <xf numFmtId="2" fontId="41" fillId="45" borderId="0" xfId="0" applyNumberFormat="1" applyFont="1" applyFill="1" applyBorder="1" applyAlignment="1">
      <alignment horizontal="right" vertical="center"/>
    </xf>
    <xf numFmtId="2" fontId="41" fillId="45" borderId="42" xfId="0" applyNumberFormat="1" applyFont="1" applyFill="1" applyBorder="1" applyAlignment="1">
      <alignment horizontal="right" vertical="center"/>
    </xf>
    <xf numFmtId="2" fontId="41" fillId="0" borderId="48" xfId="0" applyNumberFormat="1" applyFont="1" applyBorder="1" applyAlignment="1">
      <alignment horizontal="right"/>
    </xf>
    <xf numFmtId="2" fontId="41" fillId="39" borderId="46" xfId="42" applyNumberFormat="1" applyFont="1" applyFill="1" applyBorder="1" applyAlignment="1">
      <alignment horizontal="right"/>
    </xf>
    <xf numFmtId="2" fontId="41" fillId="40" borderId="46" xfId="42" applyNumberFormat="1" applyFont="1" applyFill="1" applyBorder="1" applyAlignment="1">
      <alignment horizontal="right"/>
    </xf>
    <xf numFmtId="2" fontId="41" fillId="44" borderId="45" xfId="0" applyNumberFormat="1" applyFont="1" applyFill="1" applyBorder="1" applyAlignment="1">
      <alignment horizontal="right" vertical="center"/>
    </xf>
    <xf numFmtId="2" fontId="41" fillId="44" borderId="40" xfId="0" applyNumberFormat="1" applyFont="1" applyFill="1" applyBorder="1" applyAlignment="1">
      <alignment horizontal="right" vertical="center"/>
    </xf>
    <xf numFmtId="2" fontId="41" fillId="44" borderId="11" xfId="0" applyNumberFormat="1" applyFont="1" applyFill="1" applyBorder="1" applyAlignment="1">
      <alignment horizontal="right" vertical="center"/>
    </xf>
    <xf numFmtId="2" fontId="41" fillId="45" borderId="45" xfId="0" applyNumberFormat="1" applyFont="1" applyFill="1" applyBorder="1" applyAlignment="1">
      <alignment horizontal="right" vertical="center"/>
    </xf>
    <xf numFmtId="2" fontId="41" fillId="45" borderId="40" xfId="0" applyNumberFormat="1" applyFont="1" applyFill="1" applyBorder="1" applyAlignment="1">
      <alignment horizontal="right" vertical="center"/>
    </xf>
    <xf numFmtId="2" fontId="41" fillId="45" borderId="11" xfId="0" applyNumberFormat="1" applyFont="1" applyFill="1" applyBorder="1" applyAlignment="1">
      <alignment horizontal="right" vertical="center"/>
    </xf>
    <xf numFmtId="2" fontId="41" fillId="0" borderId="45" xfId="0" applyNumberFormat="1" applyFont="1" applyFill="1" applyBorder="1" applyAlignment="1">
      <alignment horizontal="right" vertical="center"/>
    </xf>
    <xf numFmtId="2" fontId="41" fillId="0" borderId="46" xfId="0" applyNumberFormat="1" applyFont="1" applyFill="1" applyBorder="1" applyAlignment="1">
      <alignment horizontal="right" vertical="center"/>
    </xf>
    <xf numFmtId="0" fontId="16" fillId="39" borderId="12" xfId="0" applyFont="1" applyFill="1" applyBorder="1"/>
    <xf numFmtId="9" fontId="16" fillId="39" borderId="44" xfId="42" applyFont="1" applyFill="1" applyBorder="1" applyAlignment="1">
      <alignment horizontal="center"/>
    </xf>
    <xf numFmtId="0" fontId="16" fillId="39" borderId="39" xfId="0" applyFont="1" applyFill="1" applyBorder="1"/>
    <xf numFmtId="0" fontId="16" fillId="39" borderId="48" xfId="0" applyFont="1" applyFill="1" applyBorder="1"/>
    <xf numFmtId="9" fontId="16" fillId="39" borderId="48" xfId="42" applyFont="1" applyFill="1" applyBorder="1" applyAlignment="1">
      <alignment horizontal="center"/>
    </xf>
    <xf numFmtId="0" fontId="16" fillId="40" borderId="48" xfId="0" applyFont="1" applyFill="1" applyBorder="1"/>
    <xf numFmtId="9" fontId="16" fillId="40" borderId="48" xfId="0" applyNumberFormat="1" applyFont="1" applyFill="1" applyBorder="1" applyAlignment="1">
      <alignment horizontal="center"/>
    </xf>
    <xf numFmtId="0" fontId="16" fillId="40" borderId="0" xfId="0" applyFont="1" applyFill="1" applyBorder="1"/>
    <xf numFmtId="9" fontId="16" fillId="40" borderId="0" xfId="0" applyNumberFormat="1" applyFont="1" applyFill="1" applyBorder="1" applyAlignment="1">
      <alignment horizontal="center"/>
    </xf>
    <xf numFmtId="0" fontId="16" fillId="40" borderId="12" xfId="0" applyFont="1" applyFill="1" applyBorder="1"/>
    <xf numFmtId="9" fontId="16" fillId="40" borderId="44" xfId="0" applyNumberFormat="1" applyFont="1" applyFill="1" applyBorder="1" applyAlignment="1">
      <alignment horizontal="center"/>
    </xf>
    <xf numFmtId="0" fontId="16" fillId="42" borderId="44" xfId="0" applyFont="1" applyFill="1" applyBorder="1"/>
    <xf numFmtId="0" fontId="16" fillId="42" borderId="0" xfId="0" applyFont="1" applyFill="1" applyBorder="1"/>
    <xf numFmtId="0" fontId="16" fillId="42" borderId="48" xfId="0" applyFont="1" applyFill="1" applyBorder="1"/>
    <xf numFmtId="3" fontId="41" fillId="0" borderId="46" xfId="0" applyNumberFormat="1" applyFont="1" applyBorder="1" applyAlignment="1">
      <alignment horizontal="center" vertical="center"/>
    </xf>
    <xf numFmtId="165" fontId="14" fillId="0" borderId="0" xfId="0" applyNumberFormat="1" applyFont="1" applyFill="1"/>
    <xf numFmtId="0" fontId="14" fillId="0" borderId="0" xfId="0" applyFont="1" applyFill="1"/>
    <xf numFmtId="0" fontId="0" fillId="0" borderId="77" xfId="0" applyBorder="1"/>
    <xf numFmtId="0" fontId="0" fillId="0" borderId="49" xfId="0" applyBorder="1"/>
    <xf numFmtId="0" fontId="16" fillId="0" borderId="0" xfId="0" applyFont="1" applyFill="1" applyBorder="1" applyAlignment="1">
      <alignment horizontal="left" vertical="top"/>
    </xf>
    <xf numFmtId="0" fontId="19" fillId="0" borderId="50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3" fontId="16" fillId="0" borderId="47" xfId="0" applyNumberFormat="1" applyFont="1" applyFill="1" applyBorder="1" applyAlignment="1">
      <alignment horizontal="center" vertical="center"/>
    </xf>
    <xf numFmtId="0" fontId="26" fillId="0" borderId="52" xfId="0" applyFont="1" applyFill="1" applyBorder="1" applyAlignment="1">
      <alignment horizontal="center" textRotation="90" wrapText="1"/>
    </xf>
    <xf numFmtId="9" fontId="41" fillId="0" borderId="46" xfId="42" applyFont="1" applyBorder="1" applyAlignment="1">
      <alignment horizontal="center" vertical="center"/>
    </xf>
    <xf numFmtId="9" fontId="41" fillId="37" borderId="65" xfId="42" applyFont="1" applyFill="1" applyBorder="1" applyAlignment="1">
      <alignment horizontal="center"/>
    </xf>
    <xf numFmtId="9" fontId="41" fillId="37" borderId="74" xfId="42" applyFont="1" applyFill="1" applyBorder="1" applyAlignment="1">
      <alignment horizontal="center"/>
    </xf>
    <xf numFmtId="9" fontId="41" fillId="37" borderId="75" xfId="42" applyFont="1" applyFill="1" applyBorder="1" applyAlignment="1">
      <alignment horizontal="center"/>
    </xf>
    <xf numFmtId="9" fontId="41" fillId="37" borderId="76" xfId="42" applyFont="1" applyFill="1" applyBorder="1" applyAlignment="1">
      <alignment horizontal="center"/>
    </xf>
    <xf numFmtId="0" fontId="0" fillId="39" borderId="47" xfId="0" applyFill="1" applyBorder="1"/>
    <xf numFmtId="0" fontId="0" fillId="40" borderId="47" xfId="0" applyFill="1" applyBorder="1"/>
    <xf numFmtId="0" fontId="19" fillId="0" borderId="5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45" borderId="51" xfId="0" applyFont="1" applyFill="1" applyBorder="1" applyAlignment="1">
      <alignment horizontal="center" vertical="top" wrapText="1"/>
    </xf>
    <xf numFmtId="0" fontId="19" fillId="45" borderId="0" xfId="0" applyFont="1" applyFill="1" applyBorder="1" applyAlignment="1">
      <alignment horizontal="center" vertical="top" wrapText="1"/>
    </xf>
    <xf numFmtId="0" fontId="19" fillId="46" borderId="49" xfId="0" applyFont="1" applyFill="1" applyBorder="1" applyAlignment="1">
      <alignment horizontal="center" vertical="top" wrapText="1"/>
    </xf>
    <xf numFmtId="0" fontId="19" fillId="46" borderId="50" xfId="0" applyFont="1" applyFill="1" applyBorder="1" applyAlignment="1">
      <alignment horizontal="center" vertical="top" wrapText="1"/>
    </xf>
    <xf numFmtId="0" fontId="19" fillId="46" borderId="51" xfId="0" applyFont="1" applyFill="1" applyBorder="1" applyAlignment="1">
      <alignment horizontal="center" vertical="top" wrapText="1"/>
    </xf>
    <xf numFmtId="0" fontId="19" fillId="45" borderId="49" xfId="0" applyFont="1" applyFill="1" applyBorder="1" applyAlignment="1">
      <alignment horizontal="center" vertical="top" wrapText="1"/>
    </xf>
    <xf numFmtId="0" fontId="19" fillId="45" borderId="50" xfId="0" applyFont="1" applyFill="1" applyBorder="1" applyAlignment="1">
      <alignment horizontal="center" vertical="top" wrapText="1"/>
    </xf>
    <xf numFmtId="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vertical="center"/>
    </xf>
    <xf numFmtId="9" fontId="0" fillId="0" borderId="0" xfId="42" applyFont="1"/>
    <xf numFmtId="1" fontId="0" fillId="0" borderId="53" xfId="0" applyNumberFormat="1" applyFill="1" applyBorder="1" applyAlignment="1">
      <alignment horizontal="center"/>
    </xf>
    <xf numFmtId="1" fontId="41" fillId="0" borderId="53" xfId="0" applyNumberFormat="1" applyFont="1" applyFill="1" applyBorder="1" applyAlignment="1">
      <alignment horizontal="center"/>
    </xf>
    <xf numFmtId="2" fontId="20" fillId="45" borderId="0" xfId="0" applyNumberFormat="1" applyFont="1" applyFill="1" applyAlignment="1">
      <alignment vertical="top" wrapText="1"/>
    </xf>
    <xf numFmtId="2" fontId="20" fillId="46" borderId="0" xfId="0" applyNumberFormat="1" applyFont="1" applyFill="1" applyAlignment="1">
      <alignment vertical="top" wrapText="1"/>
    </xf>
    <xf numFmtId="0" fontId="0" fillId="0" borderId="53" xfId="0" applyBorder="1"/>
    <xf numFmtId="9" fontId="0" fillId="0" borderId="53" xfId="42" applyFont="1" applyBorder="1" applyAlignment="1">
      <alignment horizontal="center"/>
    </xf>
    <xf numFmtId="0" fontId="0" fillId="0" borderId="53" xfId="0" applyFill="1" applyBorder="1"/>
    <xf numFmtId="165" fontId="0" fillId="0" borderId="53" xfId="0" applyNumberFormat="1" applyFill="1" applyBorder="1"/>
    <xf numFmtId="9" fontId="0" fillId="0" borderId="53" xfId="0" applyNumberFormat="1" applyFill="1" applyBorder="1" applyAlignment="1">
      <alignment horizontal="center"/>
    </xf>
    <xf numFmtId="9" fontId="0" fillId="0" borderId="78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53" xfId="0" applyNumberFormat="1" applyBorder="1"/>
    <xf numFmtId="3" fontId="16" fillId="0" borderId="53" xfId="0" applyNumberFormat="1" applyFont="1" applyFill="1" applyBorder="1" applyAlignment="1">
      <alignment horizontal="center" vertical="center"/>
    </xf>
    <xf numFmtId="3" fontId="41" fillId="0" borderId="53" xfId="0" applyNumberFormat="1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center" vertical="center"/>
    </xf>
    <xf numFmtId="9" fontId="16" fillId="0" borderId="53" xfId="42" applyFont="1" applyBorder="1" applyAlignment="1">
      <alignment horizontal="center" vertical="center"/>
    </xf>
    <xf numFmtId="9" fontId="41" fillId="0" borderId="80" xfId="42" applyFont="1" applyBorder="1" applyAlignment="1">
      <alignment horizontal="center" vertical="center"/>
    </xf>
    <xf numFmtId="3" fontId="16" fillId="0" borderId="60" xfId="0" applyNumberFormat="1" applyFont="1" applyFill="1" applyBorder="1" applyAlignment="1">
      <alignment horizontal="center" vertical="center"/>
    </xf>
    <xf numFmtId="3" fontId="41" fillId="0" borderId="60" xfId="0" applyNumberFormat="1" applyFont="1" applyBorder="1" applyAlignment="1">
      <alignment horizontal="center" vertical="center"/>
    </xf>
    <xf numFmtId="3" fontId="16" fillId="0" borderId="60" xfId="0" applyNumberFormat="1" applyFont="1" applyBorder="1" applyAlignment="1">
      <alignment horizontal="center" vertical="center"/>
    </xf>
    <xf numFmtId="9" fontId="16" fillId="0" borderId="60" xfId="42" applyFont="1" applyBorder="1" applyAlignment="1">
      <alignment horizontal="center" vertical="center"/>
    </xf>
    <xf numFmtId="9" fontId="41" fillId="0" borderId="81" xfId="42" applyFont="1" applyBorder="1" applyAlignment="1">
      <alignment horizontal="center" vertical="center"/>
    </xf>
    <xf numFmtId="0" fontId="46" fillId="51" borderId="12" xfId="0" applyFont="1" applyFill="1" applyBorder="1" applyAlignment="1">
      <alignment horizontal="center" vertical="center" wrapText="1"/>
    </xf>
    <xf numFmtId="0" fontId="46" fillId="51" borderId="39" xfId="0" applyFont="1" applyFill="1" applyBorder="1" applyAlignment="1">
      <alignment horizontal="center" vertical="center" wrapText="1"/>
    </xf>
    <xf numFmtId="0" fontId="46" fillId="51" borderId="41" xfId="0" applyFont="1" applyFill="1" applyBorder="1" applyAlignment="1">
      <alignment horizontal="center" vertical="center" wrapText="1"/>
    </xf>
    <xf numFmtId="165" fontId="41" fillId="39" borderId="44" xfId="0" applyNumberFormat="1" applyFont="1" applyFill="1" applyBorder="1" applyAlignment="1">
      <alignment horizontal="center"/>
    </xf>
    <xf numFmtId="165" fontId="41" fillId="39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1" fontId="0" fillId="0" borderId="0" xfId="42" applyNumberFormat="1" applyFont="1"/>
    <xf numFmtId="1" fontId="0" fillId="0" borderId="0" xfId="0" applyNumberFormat="1"/>
    <xf numFmtId="0" fontId="47" fillId="53" borderId="82" xfId="0" applyFont="1" applyFill="1" applyBorder="1" applyAlignment="1">
      <alignment horizontal="right" wrapText="1"/>
    </xf>
    <xf numFmtId="0" fontId="47" fillId="53" borderId="82" xfId="0" applyFont="1" applyFill="1" applyBorder="1" applyAlignment="1">
      <alignment horizontal="left" vertical="top" wrapText="1"/>
    </xf>
    <xf numFmtId="0" fontId="48" fillId="34" borderId="10" xfId="0" applyFont="1" applyFill="1" applyBorder="1" applyAlignment="1">
      <alignment horizontal="right" vertical="top" wrapText="1"/>
    </xf>
    <xf numFmtId="0" fontId="47" fillId="53" borderId="85" xfId="0" applyFont="1" applyFill="1" applyBorder="1" applyAlignment="1">
      <alignment horizontal="right" wrapText="1"/>
    </xf>
    <xf numFmtId="0" fontId="47" fillId="53" borderId="86" xfId="0" applyFont="1" applyFill="1" applyBorder="1" applyAlignment="1">
      <alignment horizontal="right" wrapText="1"/>
    </xf>
    <xf numFmtId="0" fontId="47" fillId="53" borderId="88" xfId="0" applyFont="1" applyFill="1" applyBorder="1" applyAlignment="1">
      <alignment horizontal="right" wrapText="1"/>
    </xf>
    <xf numFmtId="0" fontId="47" fillId="53" borderId="87" xfId="0" applyFont="1" applyFill="1" applyBorder="1" applyAlignment="1">
      <alignment horizontal="left" vertical="top" wrapText="1"/>
    </xf>
    <xf numFmtId="0" fontId="48" fillId="34" borderId="34" xfId="0" applyFont="1" applyFill="1" applyBorder="1" applyAlignment="1">
      <alignment horizontal="right" vertical="top" wrapText="1"/>
    </xf>
    <xf numFmtId="0" fontId="47" fillId="53" borderId="89" xfId="0" applyFont="1" applyFill="1" applyBorder="1" applyAlignment="1">
      <alignment horizontal="left" vertical="top" wrapText="1"/>
    </xf>
    <xf numFmtId="0" fontId="47" fillId="53" borderId="83" xfId="0" applyFont="1" applyFill="1" applyBorder="1" applyAlignment="1">
      <alignment horizontal="left" vertical="top" wrapText="1"/>
    </xf>
    <xf numFmtId="0" fontId="48" fillId="34" borderId="90" xfId="0" applyFont="1" applyFill="1" applyBorder="1" applyAlignment="1">
      <alignment horizontal="right" vertical="top" wrapText="1"/>
    </xf>
    <xf numFmtId="0" fontId="48" fillId="34" borderId="0" xfId="0" applyFont="1" applyFill="1" applyBorder="1" applyAlignment="1">
      <alignment horizontal="right" vertical="top" wrapText="1"/>
    </xf>
    <xf numFmtId="0" fontId="13" fillId="54" borderId="93" xfId="0" applyFont="1" applyFill="1" applyBorder="1"/>
    <xf numFmtId="0" fontId="49" fillId="54" borderId="94" xfId="0" applyFont="1" applyFill="1" applyBorder="1" applyAlignment="1">
      <alignment horizontal="center" textRotation="90" wrapText="1"/>
    </xf>
    <xf numFmtId="0" fontId="50" fillId="54" borderId="94" xfId="0" applyFont="1" applyFill="1" applyBorder="1" applyAlignment="1">
      <alignment horizontal="center" textRotation="90" wrapText="1"/>
    </xf>
    <xf numFmtId="3" fontId="16" fillId="0" borderId="79" xfId="0" applyNumberFormat="1" applyFont="1" applyFill="1" applyBorder="1" applyAlignment="1">
      <alignment horizontal="center" vertical="center"/>
    </xf>
    <xf numFmtId="3" fontId="41" fillId="0" borderId="79" xfId="0" applyNumberFormat="1" applyFont="1" applyBorder="1" applyAlignment="1">
      <alignment horizontal="center" vertical="center"/>
    </xf>
    <xf numFmtId="3" fontId="16" fillId="0" borderId="79" xfId="0" applyNumberFormat="1" applyFont="1" applyBorder="1" applyAlignment="1">
      <alignment horizontal="center" vertical="center"/>
    </xf>
    <xf numFmtId="9" fontId="16" fillId="0" borderId="79" xfId="42" applyFont="1" applyBorder="1" applyAlignment="1">
      <alignment horizontal="center" vertical="center"/>
    </xf>
    <xf numFmtId="9" fontId="41" fillId="0" borderId="96" xfId="42" applyFont="1" applyBorder="1" applyAlignment="1">
      <alignment horizontal="center" vertical="center"/>
    </xf>
    <xf numFmtId="3" fontId="41" fillId="0" borderId="79" xfId="0" applyNumberFormat="1" applyFont="1" applyFill="1" applyBorder="1" applyAlignment="1">
      <alignment horizontal="center" vertical="center"/>
    </xf>
    <xf numFmtId="3" fontId="41" fillId="0" borderId="53" xfId="0" applyNumberFormat="1" applyFont="1" applyFill="1" applyBorder="1" applyAlignment="1">
      <alignment horizontal="center" vertical="center"/>
    </xf>
    <xf numFmtId="3" fontId="41" fillId="0" borderId="60" xfId="0" applyNumberFormat="1" applyFont="1" applyFill="1" applyBorder="1" applyAlignment="1">
      <alignment horizontal="center" vertical="center"/>
    </xf>
    <xf numFmtId="9" fontId="41" fillId="0" borderId="97" xfId="42" applyFont="1" applyBorder="1" applyAlignment="1">
      <alignment horizontal="center" vertical="center"/>
    </xf>
    <xf numFmtId="9" fontId="41" fillId="0" borderId="98" xfId="42" applyFont="1" applyBorder="1" applyAlignment="1">
      <alignment horizontal="center" vertical="center"/>
    </xf>
    <xf numFmtId="9" fontId="41" fillId="0" borderId="99" xfId="42" applyFont="1" applyBorder="1" applyAlignment="1">
      <alignment horizontal="center" vertical="center"/>
    </xf>
    <xf numFmtId="0" fontId="16" fillId="0" borderId="95" xfId="0" applyFont="1" applyBorder="1"/>
    <xf numFmtId="0" fontId="16" fillId="0" borderId="62" xfId="0" applyFont="1" applyBorder="1"/>
    <xf numFmtId="0" fontId="16" fillId="0" borderId="63" xfId="0" applyFont="1" applyFill="1" applyBorder="1"/>
    <xf numFmtId="10" fontId="0" fillId="0" borderId="0" xfId="0" applyNumberFormat="1"/>
    <xf numFmtId="0" fontId="48" fillId="0" borderId="0" xfId="0" applyFont="1" applyAlignment="1">
      <alignment horizontal="left" vertical="center"/>
    </xf>
    <xf numFmtId="3" fontId="37" fillId="0" borderId="53" xfId="0" applyNumberFormat="1" applyFont="1" applyFill="1" applyBorder="1" applyAlignment="1">
      <alignment horizontal="center"/>
    </xf>
    <xf numFmtId="0" fontId="51" fillId="0" borderId="53" xfId="0" applyFont="1" applyFill="1" applyBorder="1" applyAlignment="1">
      <alignment horizontal="left" vertical="center"/>
    </xf>
    <xf numFmtId="0" fontId="52" fillId="0" borderId="53" xfId="0" applyFont="1" applyFill="1" applyBorder="1" applyAlignment="1">
      <alignment horizontal="left" vertical="center"/>
    </xf>
    <xf numFmtId="0" fontId="51" fillId="0" borderId="53" xfId="0" applyFont="1" applyFill="1" applyBorder="1" applyAlignment="1">
      <alignment horizontal="right" vertical="center"/>
    </xf>
    <xf numFmtId="0" fontId="53" fillId="0" borderId="53" xfId="0" applyFont="1" applyFill="1" applyBorder="1" applyAlignment="1">
      <alignment horizontal="left" vertical="center"/>
    </xf>
    <xf numFmtId="0" fontId="54" fillId="0" borderId="53" xfId="0" applyFont="1" applyFill="1" applyBorder="1" applyAlignment="1">
      <alignment horizontal="right" vertical="center"/>
    </xf>
    <xf numFmtId="0" fontId="52" fillId="0" borderId="53" xfId="0" applyFont="1" applyFill="1" applyBorder="1" applyAlignment="1">
      <alignment horizontal="center" vertical="center"/>
    </xf>
    <xf numFmtId="0" fontId="51" fillId="0" borderId="53" xfId="0" applyFont="1" applyFill="1" applyBorder="1" applyAlignment="1">
      <alignment horizontal="center" vertical="center"/>
    </xf>
    <xf numFmtId="1" fontId="51" fillId="0" borderId="53" xfId="0" applyNumberFormat="1" applyFont="1" applyFill="1" applyBorder="1" applyAlignment="1">
      <alignment horizontal="center" vertical="center"/>
    </xf>
    <xf numFmtId="0" fontId="34" fillId="0" borderId="56" xfId="0" applyFont="1" applyBorder="1" applyAlignment="1">
      <alignment vertical="center" wrapText="1"/>
    </xf>
    <xf numFmtId="0" fontId="37" fillId="0" borderId="57" xfId="0" applyFont="1" applyBorder="1" applyAlignment="1">
      <alignment horizontal="right" vertical="center"/>
    </xf>
    <xf numFmtId="3" fontId="37" fillId="0" borderId="57" xfId="0" applyNumberFormat="1" applyFont="1" applyBorder="1" applyAlignment="1">
      <alignment horizontal="right" vertical="center"/>
    </xf>
    <xf numFmtId="9" fontId="38" fillId="0" borderId="57" xfId="0" applyNumberFormat="1" applyFont="1" applyBorder="1" applyAlignment="1">
      <alignment horizontal="right" vertical="center"/>
    </xf>
    <xf numFmtId="0" fontId="32" fillId="50" borderId="102" xfId="0" applyFont="1" applyFill="1" applyBorder="1" applyAlignment="1">
      <alignment horizontal="left" vertical="center" wrapText="1"/>
    </xf>
    <xf numFmtId="0" fontId="32" fillId="50" borderId="100" xfId="0" applyFont="1" applyFill="1" applyBorder="1" applyAlignment="1">
      <alignment horizontal="center" vertical="center" wrapText="1"/>
    </xf>
    <xf numFmtId="0" fontId="32" fillId="50" borderId="102" xfId="0" applyFont="1" applyFill="1" applyBorder="1" applyAlignment="1">
      <alignment horizontal="center" vertical="center" wrapText="1"/>
    </xf>
    <xf numFmtId="0" fontId="55" fillId="0" borderId="53" xfId="0" applyFont="1" applyBorder="1" applyAlignment="1">
      <alignment vertical="center"/>
    </xf>
    <xf numFmtId="0" fontId="51" fillId="0" borderId="53" xfId="0" applyFont="1" applyBorder="1" applyAlignment="1">
      <alignment vertical="center"/>
    </xf>
    <xf numFmtId="0" fontId="32" fillId="54" borderId="57" xfId="0" applyFont="1" applyFill="1" applyBorder="1" applyAlignment="1">
      <alignment horizontal="center" vertical="center" wrapText="1"/>
    </xf>
    <xf numFmtId="9" fontId="0" fillId="39" borderId="47" xfId="42" applyNumberFormat="1" applyFont="1" applyFill="1" applyBorder="1" applyAlignment="1">
      <alignment horizontal="center"/>
    </xf>
    <xf numFmtId="0" fontId="32" fillId="54" borderId="0" xfId="0" applyFont="1" applyFill="1" applyAlignment="1">
      <alignment vertical="center" wrapText="1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3" fontId="56" fillId="0" borderId="0" xfId="0" applyNumberFormat="1" applyFont="1" applyAlignment="1">
      <alignment horizontal="right" vertical="center"/>
    </xf>
    <xf numFmtId="0" fontId="32" fillId="54" borderId="54" xfId="0" applyFont="1" applyFill="1" applyBorder="1" applyAlignment="1">
      <alignment horizontal="center" vertical="center" wrapText="1"/>
    </xf>
    <xf numFmtId="0" fontId="32" fillId="54" borderId="55" xfId="0" applyFont="1" applyFill="1" applyBorder="1" applyAlignment="1">
      <alignment horizontal="center" vertical="center" wrapText="1"/>
    </xf>
    <xf numFmtId="0" fontId="55" fillId="0" borderId="57" xfId="0" applyFont="1" applyBorder="1" applyAlignment="1">
      <alignment vertical="center"/>
    </xf>
    <xf numFmtId="3" fontId="55" fillId="0" borderId="57" xfId="0" applyNumberFormat="1" applyFont="1" applyBorder="1" applyAlignment="1">
      <alignment horizontal="right" vertical="center"/>
    </xf>
    <xf numFmtId="0" fontId="55" fillId="0" borderId="57" xfId="0" applyFont="1" applyBorder="1" applyAlignment="1">
      <alignment horizontal="right" vertical="center"/>
    </xf>
    <xf numFmtId="0" fontId="34" fillId="0" borderId="100" xfId="0" applyFont="1" applyBorder="1" applyAlignment="1">
      <alignment vertical="center"/>
    </xf>
    <xf numFmtId="0" fontId="19" fillId="44" borderId="51" xfId="0" applyFont="1" applyFill="1" applyBorder="1" applyAlignment="1">
      <alignment horizontal="center" vertical="top" wrapText="1"/>
    </xf>
    <xf numFmtId="0" fontId="19" fillId="44" borderId="49" xfId="0" applyFont="1" applyFill="1" applyBorder="1" applyAlignment="1">
      <alignment horizontal="center" vertical="top" wrapText="1"/>
    </xf>
    <xf numFmtId="0" fontId="19" fillId="44" borderId="50" xfId="0" applyFont="1" applyFill="1" applyBorder="1" applyAlignment="1">
      <alignment horizontal="center" vertical="top" wrapText="1"/>
    </xf>
    <xf numFmtId="0" fontId="0" fillId="45" borderId="43" xfId="0" applyFill="1" applyBorder="1"/>
    <xf numFmtId="0" fontId="0" fillId="46" borderId="43" xfId="0" applyFill="1" applyBorder="1"/>
    <xf numFmtId="0" fontId="32" fillId="54" borderId="55" xfId="0" applyFont="1" applyFill="1" applyBorder="1" applyAlignment="1">
      <alignment horizontal="center" vertical="center" wrapText="1"/>
    </xf>
    <xf numFmtId="0" fontId="32" fillId="54" borderId="100" xfId="0" applyFont="1" applyFill="1" applyBorder="1" applyAlignment="1">
      <alignment horizontal="center" vertical="center" wrapText="1"/>
    </xf>
    <xf numFmtId="2" fontId="0" fillId="0" borderId="59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32" fillId="54" borderId="100" xfId="0" applyFont="1" applyFill="1" applyBorder="1" applyAlignment="1">
      <alignment horizontal="center" vertical="center" wrapText="1"/>
    </xf>
    <xf numFmtId="0" fontId="0" fillId="0" borderId="53" xfId="0" applyBorder="1"/>
    <xf numFmtId="0" fontId="58" fillId="0" borderId="43" xfId="0" applyFont="1" applyBorder="1" applyAlignment="1">
      <alignment vertical="center"/>
    </xf>
    <xf numFmtId="165" fontId="0" fillId="0" borderId="0" xfId="0" applyNumberFormat="1"/>
    <xf numFmtId="0" fontId="32" fillId="54" borderId="102" xfId="0" applyFont="1" applyFill="1" applyBorder="1" applyAlignment="1">
      <alignment horizontal="center" vertical="center" wrapText="1"/>
    </xf>
    <xf numFmtId="0" fontId="16" fillId="0" borderId="107" xfId="0" applyFont="1" applyFill="1" applyBorder="1" applyAlignment="1">
      <alignment horizontal="center" vertical="top" wrapText="1"/>
    </xf>
    <xf numFmtId="0" fontId="0" fillId="0" borderId="53" xfId="0" applyBorder="1" applyAlignment="1">
      <alignment horizontal="center" wrapText="1"/>
    </xf>
    <xf numFmtId="164" fontId="0" fillId="39" borderId="47" xfId="42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top" wrapText="1"/>
    </xf>
    <xf numFmtId="0" fontId="57" fillId="0" borderId="0" xfId="0" applyFont="1"/>
    <xf numFmtId="165" fontId="0" fillId="0" borderId="53" xfId="0" applyNumberFormat="1" applyBorder="1"/>
    <xf numFmtId="0" fontId="0" fillId="0" borderId="0" xfId="0" applyFill="1" applyBorder="1" applyAlignment="1">
      <alignment vertical="top" wrapText="1"/>
    </xf>
    <xf numFmtId="2" fontId="0" fillId="0" borderId="53" xfId="0" applyNumberFormat="1" applyBorder="1"/>
    <xf numFmtId="3" fontId="0" fillId="0" borderId="53" xfId="0" applyNumberFormat="1" applyBorder="1"/>
    <xf numFmtId="164" fontId="0" fillId="40" borderId="47" xfId="42" applyNumberFormat="1" applyFont="1" applyFill="1" applyBorder="1" applyAlignment="1">
      <alignment horizontal="center"/>
    </xf>
    <xf numFmtId="0" fontId="0" fillId="0" borderId="13" xfId="0" applyBorder="1" applyAlignment="1">
      <alignment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04" xfId="0" applyFont="1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0" fontId="0" fillId="0" borderId="105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06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3" fontId="52" fillId="0" borderId="0" xfId="0" applyNumberFormat="1" applyFont="1"/>
    <xf numFmtId="43" fontId="0" fillId="0" borderId="0" xfId="43" applyFont="1"/>
    <xf numFmtId="43" fontId="52" fillId="0" borderId="0" xfId="43" applyFont="1"/>
    <xf numFmtId="43" fontId="0" fillId="0" borderId="0" xfId="0" applyNumberFormat="1"/>
    <xf numFmtId="43" fontId="0" fillId="0" borderId="0" xfId="0" applyNumberFormat="1" applyAlignment="1">
      <alignment horizontal="left"/>
    </xf>
    <xf numFmtId="1" fontId="0" fillId="0" borderId="71" xfId="0" applyNumberFormat="1" applyFill="1" applyBorder="1" applyAlignment="1">
      <alignment horizontal="center"/>
    </xf>
    <xf numFmtId="2" fontId="0" fillId="0" borderId="71" xfId="0" applyNumberFormat="1" applyFill="1" applyBorder="1" applyAlignment="1">
      <alignment horizontal="center"/>
    </xf>
    <xf numFmtId="168" fontId="0" fillId="0" borderId="0" xfId="43" applyNumberFormat="1" applyFont="1"/>
    <xf numFmtId="9" fontId="0" fillId="0" borderId="59" xfId="42" applyFont="1" applyBorder="1" applyAlignment="1">
      <alignment horizontal="center"/>
    </xf>
    <xf numFmtId="168" fontId="0" fillId="0" borderId="0" xfId="0" applyNumberFormat="1"/>
    <xf numFmtId="0" fontId="16" fillId="0" borderId="0" xfId="0" applyFont="1" applyAlignment="1">
      <alignment wrapText="1"/>
    </xf>
    <xf numFmtId="0" fontId="0" fillId="45" borderId="47" xfId="0" applyFill="1" applyBorder="1"/>
    <xf numFmtId="0" fontId="0" fillId="46" borderId="47" xfId="0" applyFill="1" applyBorder="1"/>
    <xf numFmtId="168" fontId="0" fillId="0" borderId="53" xfId="43" applyNumberFormat="1" applyFont="1" applyBorder="1" applyAlignment="1">
      <alignment wrapText="1"/>
    </xf>
    <xf numFmtId="9" fontId="0" fillId="0" borderId="53" xfId="42" applyFont="1" applyBorder="1" applyAlignment="1">
      <alignment horizontal="center" wrapText="1"/>
    </xf>
    <xf numFmtId="9" fontId="0" fillId="0" borderId="53" xfId="0" applyNumberFormat="1" applyBorder="1" applyAlignment="1">
      <alignment horizontal="center"/>
    </xf>
    <xf numFmtId="0" fontId="0" fillId="44" borderId="70" xfId="0" applyFill="1" applyBorder="1" applyAlignment="1">
      <alignment vertical="center"/>
    </xf>
    <xf numFmtId="0" fontId="0" fillId="44" borderId="47" xfId="0" applyFill="1" applyBorder="1" applyAlignment="1"/>
    <xf numFmtId="0" fontId="0" fillId="44" borderId="48" xfId="0" applyFill="1" applyBorder="1" applyAlignment="1"/>
    <xf numFmtId="0" fontId="0" fillId="41" borderId="70" xfId="0" applyFill="1" applyBorder="1" applyAlignment="1">
      <alignment vertical="center"/>
    </xf>
    <xf numFmtId="0" fontId="0" fillId="41" borderId="47" xfId="0" applyFill="1" applyBorder="1" applyAlignment="1"/>
    <xf numFmtId="0" fontId="0" fillId="41" borderId="48" xfId="0" applyFill="1" applyBorder="1" applyAlignment="1"/>
    <xf numFmtId="0" fontId="0" fillId="45" borderId="70" xfId="0" applyFill="1" applyBorder="1" applyAlignment="1">
      <alignment vertical="center"/>
    </xf>
    <xf numFmtId="0" fontId="0" fillId="46" borderId="70" xfId="0" applyFill="1" applyBorder="1" applyAlignment="1">
      <alignment vertical="center"/>
    </xf>
    <xf numFmtId="0" fontId="0" fillId="0" borderId="0" xfId="0"/>
    <xf numFmtId="0" fontId="58" fillId="47" borderId="46" xfId="0" applyFont="1" applyFill="1" applyBorder="1" applyAlignment="1">
      <alignment vertical="center"/>
    </xf>
    <xf numFmtId="0" fontId="59" fillId="47" borderId="11" xfId="0" applyFont="1" applyFill="1" applyBorder="1" applyAlignment="1">
      <alignment vertical="center"/>
    </xf>
    <xf numFmtId="3" fontId="59" fillId="47" borderId="11" xfId="0" applyNumberFormat="1" applyFont="1" applyFill="1" applyBorder="1" applyAlignment="1">
      <alignment horizontal="right" vertical="center"/>
    </xf>
    <xf numFmtId="43" fontId="59" fillId="47" borderId="11" xfId="43" applyFont="1" applyFill="1" applyBorder="1" applyAlignment="1">
      <alignment horizontal="center" vertical="center"/>
    </xf>
    <xf numFmtId="0" fontId="59" fillId="47" borderId="11" xfId="0" applyFont="1" applyFill="1" applyBorder="1" applyAlignment="1">
      <alignment horizontal="right" vertical="center"/>
    </xf>
    <xf numFmtId="1" fontId="16" fillId="0" borderId="0" xfId="0" applyNumberFormat="1" applyFont="1" applyFill="1" applyBorder="1" applyAlignment="1">
      <alignment horizontal="center" vertical="top" wrapText="1"/>
    </xf>
    <xf numFmtId="0" fontId="32" fillId="54" borderId="100" xfId="0" applyFont="1" applyFill="1" applyBorder="1" applyAlignment="1">
      <alignment horizontal="center" vertical="center" wrapText="1"/>
    </xf>
    <xf numFmtId="0" fontId="0" fillId="0" borderId="0" xfId="0" applyAlignment="1"/>
    <xf numFmtId="169" fontId="0" fillId="0" borderId="53" xfId="0" applyNumberFormat="1" applyBorder="1"/>
    <xf numFmtId="0" fontId="16" fillId="0" borderId="53" xfId="0" applyFont="1" applyFill="1" applyBorder="1" applyAlignment="1">
      <alignment horizontal="center" wrapText="1"/>
    </xf>
    <xf numFmtId="0" fontId="0" fillId="0" borderId="111" xfId="0" applyFill="1" applyBorder="1" applyAlignment="1">
      <alignment vertical="top" wrapText="1"/>
    </xf>
    <xf numFmtId="0" fontId="16" fillId="0" borderId="107" xfId="0" applyFont="1" applyFill="1" applyBorder="1" applyAlignment="1">
      <alignment horizontal="center" wrapText="1"/>
    </xf>
    <xf numFmtId="165" fontId="51" fillId="0" borderId="53" xfId="0" applyNumberFormat="1" applyFont="1" applyBorder="1"/>
    <xf numFmtId="0" fontId="16" fillId="0" borderId="53" xfId="0" applyFont="1" applyFill="1" applyBorder="1" applyAlignment="1">
      <alignment horizontal="left" wrapText="1"/>
    </xf>
    <xf numFmtId="169" fontId="51" fillId="0" borderId="53" xfId="0" applyNumberFormat="1" applyFont="1" applyBorder="1"/>
    <xf numFmtId="3" fontId="51" fillId="0" borderId="53" xfId="0" applyNumberFormat="1" applyFont="1" applyBorder="1"/>
    <xf numFmtId="0" fontId="0" fillId="0" borderId="0" xfId="0"/>
    <xf numFmtId="0" fontId="0" fillId="0" borderId="13" xfId="0" applyBorder="1" applyAlignment="1">
      <alignment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04" xfId="0" applyFont="1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0" fontId="0" fillId="0" borderId="105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06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51" fillId="0" borderId="53" xfId="0" applyFont="1" applyBorder="1"/>
    <xf numFmtId="0" fontId="0" fillId="0" borderId="0" xfId="0"/>
    <xf numFmtId="0" fontId="0" fillId="0" borderId="19" xfId="0" applyBorder="1" applyAlignment="1">
      <alignment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19" xfId="0" applyBorder="1" applyAlignment="1">
      <alignment vertical="top"/>
    </xf>
    <xf numFmtId="0" fontId="16" fillId="0" borderId="21" xfId="0" applyFont="1" applyBorder="1" applyAlignment="1">
      <alignment horizontal="center" vertical="top" wrapText="1"/>
    </xf>
    <xf numFmtId="0" fontId="0" fillId="0" borderId="26" xfId="0" applyBorder="1" applyAlignment="1">
      <alignment vertical="top" wrapText="1"/>
    </xf>
    <xf numFmtId="0" fontId="0" fillId="0" borderId="19" xfId="0" applyBorder="1" applyAlignment="1">
      <alignment vertical="top"/>
    </xf>
    <xf numFmtId="0" fontId="16" fillId="0" borderId="21" xfId="0" applyFont="1" applyBorder="1" applyAlignment="1">
      <alignment horizontal="center" vertical="top" wrapText="1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 wrapText="1"/>
    </xf>
    <xf numFmtId="0" fontId="0" fillId="0" borderId="0" xfId="0"/>
    <xf numFmtId="0" fontId="0" fillId="0" borderId="19" xfId="0" applyBorder="1" applyAlignment="1">
      <alignment vertical="top"/>
    </xf>
    <xf numFmtId="0" fontId="16" fillId="0" borderId="21" xfId="0" applyFont="1" applyBorder="1" applyAlignment="1">
      <alignment horizontal="center" vertical="top" wrapText="1"/>
    </xf>
    <xf numFmtId="0" fontId="0" fillId="0" borderId="26" xfId="0" applyBorder="1" applyAlignment="1">
      <alignment vertical="top" wrapText="1"/>
    </xf>
    <xf numFmtId="0" fontId="0" fillId="0" borderId="53" xfId="0" applyBorder="1" applyAlignment="1">
      <alignment horizontal="right"/>
    </xf>
    <xf numFmtId="0" fontId="19" fillId="0" borderId="50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0" fillId="55" borderId="42" xfId="0" applyFill="1" applyBorder="1" applyAlignment="1">
      <alignment wrapText="1"/>
    </xf>
    <xf numFmtId="0" fontId="61" fillId="0" borderId="41" xfId="0" applyFont="1" applyBorder="1" applyAlignment="1">
      <alignment horizontal="right" vertical="center" wrapText="1"/>
    </xf>
    <xf numFmtId="10" fontId="61" fillId="0" borderId="42" xfId="0" applyNumberFormat="1" applyFont="1" applyBorder="1" applyAlignment="1">
      <alignment horizontal="center" vertical="center"/>
    </xf>
    <xf numFmtId="10" fontId="62" fillId="52" borderId="11" xfId="0" applyNumberFormat="1" applyFont="1" applyFill="1" applyBorder="1" applyAlignment="1">
      <alignment horizontal="right" vertical="center"/>
    </xf>
    <xf numFmtId="1" fontId="51" fillId="0" borderId="53" xfId="0" applyNumberFormat="1" applyFont="1" applyFill="1" applyBorder="1" applyAlignment="1">
      <alignment horizontal="right" vertical="center"/>
    </xf>
    <xf numFmtId="0" fontId="34" fillId="0" borderId="56" xfId="0" applyFont="1" applyBorder="1" applyAlignment="1">
      <alignment vertical="center"/>
    </xf>
    <xf numFmtId="0" fontId="0" fillId="39" borderId="48" xfId="0" applyFill="1" applyBorder="1"/>
    <xf numFmtId="0" fontId="0" fillId="0" borderId="48" xfId="0" applyBorder="1"/>
    <xf numFmtId="3" fontId="37" fillId="0" borderId="53" xfId="0" applyNumberFormat="1" applyFont="1" applyFill="1" applyBorder="1" applyAlignment="1">
      <alignment horizontal="center"/>
    </xf>
    <xf numFmtId="168" fontId="0" fillId="0" borderId="53" xfId="43" applyNumberFormat="1" applyFont="1" applyBorder="1"/>
    <xf numFmtId="168" fontId="20" fillId="0" borderId="53" xfId="43" applyNumberFormat="1" applyFont="1" applyBorder="1" applyAlignment="1">
      <alignment vertical="top" wrapText="1"/>
    </xf>
    <xf numFmtId="9" fontId="0" fillId="0" borderId="53" xfId="42" applyFont="1" applyBorder="1"/>
    <xf numFmtId="0" fontId="0" fillId="0" borderId="53" xfId="0" quotePrefix="1" applyBorder="1"/>
    <xf numFmtId="0" fontId="63" fillId="0" borderId="0" xfId="44"/>
    <xf numFmtId="10" fontId="0" fillId="0" borderId="0" xfId="45" applyNumberFormat="1" applyFont="1"/>
    <xf numFmtId="164" fontId="0" fillId="0" borderId="0" xfId="45" applyNumberFormat="1" applyFont="1"/>
    <xf numFmtId="3" fontId="64" fillId="0" borderId="46" xfId="44" applyNumberFormat="1" applyFont="1" applyBorder="1" applyAlignment="1">
      <alignment horizontal="right" vertical="center"/>
    </xf>
    <xf numFmtId="0" fontId="64" fillId="0" borderId="43" xfId="44" applyFont="1" applyBorder="1" applyAlignment="1">
      <alignment vertical="center"/>
    </xf>
    <xf numFmtId="0" fontId="65" fillId="0" borderId="0" xfId="44" applyFont="1" applyAlignment="1">
      <alignment vertical="center"/>
    </xf>
    <xf numFmtId="3" fontId="63" fillId="0" borderId="43" xfId="44" applyNumberFormat="1" applyBorder="1"/>
    <xf numFmtId="0" fontId="23" fillId="34" borderId="43" xfId="44" applyFont="1" applyFill="1" applyBorder="1" applyAlignment="1">
      <alignment vertical="center" wrapText="1"/>
    </xf>
    <xf numFmtId="0" fontId="23" fillId="34" borderId="10" xfId="44" applyFont="1" applyFill="1" applyBorder="1" applyAlignment="1">
      <alignment vertical="center" wrapText="1"/>
    </xf>
    <xf numFmtId="10" fontId="23" fillId="34" borderId="10" xfId="44" applyNumberFormat="1" applyFont="1" applyFill="1" applyBorder="1" applyAlignment="1">
      <alignment horizontal="right" vertical="center" wrapText="1"/>
    </xf>
    <xf numFmtId="3" fontId="23" fillId="34" borderId="90" xfId="44" applyNumberFormat="1" applyFont="1" applyFill="1" applyBorder="1" applyAlignment="1">
      <alignment horizontal="right" vertical="center" wrapText="1"/>
    </xf>
    <xf numFmtId="0" fontId="23" fillId="34" borderId="112" xfId="44" applyFont="1" applyFill="1" applyBorder="1" applyAlignment="1">
      <alignment vertical="center" wrapText="1"/>
    </xf>
    <xf numFmtId="3" fontId="23" fillId="34" borderId="10" xfId="44" applyNumberFormat="1" applyFont="1" applyFill="1" applyBorder="1" applyAlignment="1">
      <alignment horizontal="right" vertical="center" wrapText="1"/>
    </xf>
    <xf numFmtId="0" fontId="23" fillId="34" borderId="31" xfId="44" applyFont="1" applyFill="1" applyBorder="1" applyAlignment="1">
      <alignment vertical="center" wrapText="1"/>
    </xf>
    <xf numFmtId="0" fontId="23" fillId="34" borderId="29" xfId="44" applyFont="1" applyFill="1" applyBorder="1" applyAlignment="1">
      <alignment vertical="center" wrapText="1"/>
    </xf>
    <xf numFmtId="0" fontId="23" fillId="34" borderId="113" xfId="44" applyFont="1" applyFill="1" applyBorder="1" applyAlignment="1">
      <alignment vertical="center" wrapText="1"/>
    </xf>
    <xf numFmtId="168" fontId="0" fillId="0" borderId="12" xfId="43" applyNumberFormat="1" applyFont="1" applyBorder="1"/>
    <xf numFmtId="9" fontId="0" fillId="0" borderId="44" xfId="42" applyFont="1" applyBorder="1"/>
    <xf numFmtId="3" fontId="52" fillId="0" borderId="45" xfId="0" applyNumberFormat="1" applyFont="1" applyBorder="1"/>
    <xf numFmtId="168" fontId="0" fillId="0" borderId="39" xfId="43" applyNumberFormat="1" applyFont="1" applyBorder="1"/>
    <xf numFmtId="9" fontId="0" fillId="0" borderId="0" xfId="42" applyFont="1" applyBorder="1"/>
    <xf numFmtId="0" fontId="0" fillId="0" borderId="40" xfId="0" applyBorder="1"/>
    <xf numFmtId="168" fontId="0" fillId="0" borderId="41" xfId="43" applyNumberFormat="1" applyFont="1" applyBorder="1"/>
    <xf numFmtId="9" fontId="0" fillId="0" borderId="42" xfId="42" applyFont="1" applyBorder="1"/>
    <xf numFmtId="0" fontId="0" fillId="0" borderId="11" xfId="0" applyBorder="1"/>
    <xf numFmtId="168" fontId="60" fillId="0" borderId="114" xfId="43" applyNumberFormat="1" applyFont="1" applyFill="1" applyBorder="1"/>
    <xf numFmtId="9" fontId="0" fillId="47" borderId="0" xfId="42" applyFont="1" applyFill="1"/>
    <xf numFmtId="168" fontId="0" fillId="47" borderId="0" xfId="0" applyNumberFormat="1" applyFill="1"/>
    <xf numFmtId="43" fontId="0" fillId="47" borderId="0" xfId="0" applyNumberFormat="1" applyFill="1"/>
    <xf numFmtId="43" fontId="0" fillId="0" borderId="45" xfId="0" applyNumberFormat="1" applyBorder="1"/>
    <xf numFmtId="0" fontId="0" fillId="0" borderId="71" xfId="0" applyFill="1" applyBorder="1" applyAlignment="1">
      <alignment horizontal="right"/>
    </xf>
    <xf numFmtId="168" fontId="0" fillId="58" borderId="0" xfId="0" applyNumberFormat="1" applyFill="1"/>
    <xf numFmtId="0" fontId="0" fillId="58" borderId="44" xfId="0" applyFill="1" applyBorder="1"/>
    <xf numFmtId="0" fontId="0" fillId="58" borderId="40" xfId="0" applyFill="1" applyBorder="1"/>
    <xf numFmtId="0" fontId="0" fillId="58" borderId="11" xfId="0" applyFill="1" applyBorder="1"/>
    <xf numFmtId="0" fontId="32" fillId="54" borderId="55" xfId="0" applyFont="1" applyFill="1" applyBorder="1" applyAlignment="1">
      <alignment vertical="center" wrapText="1"/>
    </xf>
    <xf numFmtId="0" fontId="33" fillId="54" borderId="55" xfId="0" applyFont="1" applyFill="1" applyBorder="1" applyAlignment="1">
      <alignment vertical="center" wrapText="1"/>
    </xf>
    <xf numFmtId="2" fontId="51" fillId="0" borderId="53" xfId="0" applyNumberFormat="1" applyFont="1" applyFill="1" applyBorder="1" applyAlignment="1">
      <alignment horizontal="center"/>
    </xf>
    <xf numFmtId="2" fontId="54" fillId="0" borderId="53" xfId="0" applyNumberFormat="1" applyFont="1" applyFill="1" applyBorder="1" applyAlignment="1">
      <alignment horizontal="center"/>
    </xf>
    <xf numFmtId="1" fontId="51" fillId="0" borderId="53" xfId="0" applyNumberFormat="1" applyFont="1" applyBorder="1" applyAlignment="1">
      <alignment horizontal="center"/>
    </xf>
    <xf numFmtId="1" fontId="54" fillId="0" borderId="53" xfId="0" applyNumberFormat="1" applyFont="1" applyBorder="1" applyAlignment="1">
      <alignment horizontal="center"/>
    </xf>
    <xf numFmtId="0" fontId="51" fillId="0" borderId="53" xfId="0" applyFont="1" applyBorder="1" applyAlignment="1">
      <alignment horizontal="center"/>
    </xf>
    <xf numFmtId="2" fontId="54" fillId="0" borderId="53" xfId="0" applyNumberFormat="1" applyFont="1" applyBorder="1" applyAlignment="1">
      <alignment horizontal="center"/>
    </xf>
    <xf numFmtId="0" fontId="51" fillId="37" borderId="53" xfId="0" applyFont="1" applyFill="1" applyBorder="1" applyAlignment="1">
      <alignment horizontal="center"/>
    </xf>
    <xf numFmtId="9" fontId="51" fillId="37" borderId="53" xfId="42" applyFont="1" applyFill="1" applyBorder="1" applyAlignment="1">
      <alignment horizontal="center"/>
    </xf>
    <xf numFmtId="1" fontId="51" fillId="0" borderId="53" xfId="0" applyNumberFormat="1" applyFont="1" applyFill="1" applyBorder="1" applyAlignment="1">
      <alignment horizontal="center"/>
    </xf>
    <xf numFmtId="1" fontId="54" fillId="0" borderId="53" xfId="0" applyNumberFormat="1" applyFont="1" applyFill="1" applyBorder="1" applyAlignment="1">
      <alignment horizontal="center"/>
    </xf>
    <xf numFmtId="1" fontId="51" fillId="37" borderId="53" xfId="0" applyNumberFormat="1" applyFont="1" applyFill="1" applyBorder="1" applyAlignment="1">
      <alignment horizontal="center"/>
    </xf>
    <xf numFmtId="165" fontId="41" fillId="44" borderId="39" xfId="0" applyNumberFormat="1" applyFont="1" applyFill="1" applyBorder="1" applyAlignment="1">
      <alignment horizontal="right"/>
    </xf>
    <xf numFmtId="0" fontId="0" fillId="45" borderId="68" xfId="0" applyFill="1" applyBorder="1" applyAlignment="1">
      <alignment vertical="center"/>
    </xf>
    <xf numFmtId="0" fontId="0" fillId="45" borderId="69" xfId="0" applyFill="1" applyBorder="1" applyAlignment="1">
      <alignment vertical="center"/>
    </xf>
    <xf numFmtId="9" fontId="0" fillId="44" borderId="41" xfId="42" applyFont="1" applyFill="1" applyBorder="1" applyAlignment="1">
      <alignment horizontal="left" vertical="center"/>
    </xf>
    <xf numFmtId="9" fontId="0" fillId="44" borderId="39" xfId="42" applyFont="1" applyFill="1" applyBorder="1" applyAlignment="1">
      <alignment horizontal="left" vertical="center"/>
    </xf>
    <xf numFmtId="0" fontId="0" fillId="44" borderId="12" xfId="0" applyFill="1" applyBorder="1"/>
    <xf numFmtId="9" fontId="0" fillId="44" borderId="45" xfId="0" applyNumberFormat="1" applyFill="1" applyBorder="1" applyAlignment="1">
      <alignment horizontal="center"/>
    </xf>
    <xf numFmtId="9" fontId="0" fillId="45" borderId="41" xfId="42" applyFont="1" applyFill="1" applyBorder="1" applyAlignment="1">
      <alignment horizontal="left" vertical="center"/>
    </xf>
    <xf numFmtId="9" fontId="0" fillId="45" borderId="39" xfId="42" applyFont="1" applyFill="1" applyBorder="1" applyAlignment="1">
      <alignment horizontal="left" vertical="center"/>
    </xf>
    <xf numFmtId="164" fontId="0" fillId="39" borderId="48" xfId="42" applyNumberFormat="1" applyFont="1" applyFill="1" applyBorder="1" applyAlignment="1">
      <alignment horizontal="center"/>
    </xf>
    <xf numFmtId="164" fontId="0" fillId="40" borderId="48" xfId="42" applyNumberFormat="1" applyFont="1" applyFill="1" applyBorder="1" applyAlignment="1">
      <alignment horizontal="center"/>
    </xf>
    <xf numFmtId="164" fontId="0" fillId="44" borderId="0" xfId="0" applyNumberFormat="1" applyFill="1" applyBorder="1" applyAlignment="1">
      <alignment horizontal="center" vertical="center"/>
    </xf>
    <xf numFmtId="164" fontId="0" fillId="41" borderId="44" xfId="0" applyNumberFormat="1" applyFill="1" applyBorder="1" applyAlignment="1">
      <alignment horizontal="center" vertical="center"/>
    </xf>
    <xf numFmtId="164" fontId="0" fillId="41" borderId="0" xfId="0" applyNumberFormat="1" applyFill="1" applyBorder="1" applyAlignment="1">
      <alignment horizontal="center" vertical="center"/>
    </xf>
    <xf numFmtId="164" fontId="0" fillId="41" borderId="42" xfId="0" applyNumberFormat="1" applyFill="1" applyBorder="1" applyAlignment="1">
      <alignment horizontal="center" vertical="center"/>
    </xf>
    <xf numFmtId="164" fontId="0" fillId="45" borderId="44" xfId="0" applyNumberFormat="1" applyFill="1" applyBorder="1" applyAlignment="1">
      <alignment horizontal="center" vertical="center"/>
    </xf>
    <xf numFmtId="164" fontId="0" fillId="45" borderId="0" xfId="0" applyNumberFormat="1" applyFill="1" applyBorder="1" applyAlignment="1">
      <alignment horizontal="center" vertical="center"/>
    </xf>
    <xf numFmtId="164" fontId="0" fillId="45" borderId="42" xfId="0" applyNumberFormat="1" applyFill="1" applyBorder="1" applyAlignment="1">
      <alignment horizontal="center" vertical="center"/>
    </xf>
    <xf numFmtId="164" fontId="0" fillId="46" borderId="44" xfId="0" applyNumberFormat="1" applyFill="1" applyBorder="1" applyAlignment="1">
      <alignment horizontal="center" vertical="center"/>
    </xf>
    <xf numFmtId="164" fontId="0" fillId="46" borderId="0" xfId="0" applyNumberFormat="1" applyFill="1" applyBorder="1" applyAlignment="1">
      <alignment horizontal="center" vertical="center"/>
    </xf>
    <xf numFmtId="164" fontId="0" fillId="46" borderId="42" xfId="0" applyNumberFormat="1" applyFill="1" applyBorder="1" applyAlignment="1">
      <alignment horizontal="center" vertical="center"/>
    </xf>
    <xf numFmtId="164" fontId="0" fillId="0" borderId="48" xfId="0" applyNumberFormat="1" applyBorder="1" applyAlignment="1">
      <alignment horizontal="center"/>
    </xf>
    <xf numFmtId="0" fontId="0" fillId="44" borderId="53" xfId="0" applyFill="1" applyBorder="1" applyAlignment="1">
      <alignment horizontal="left" vertical="center"/>
    </xf>
    <xf numFmtId="0" fontId="0" fillId="45" borderId="53" xfId="0" applyFill="1" applyBorder="1" applyAlignment="1">
      <alignment horizontal="left" vertical="center"/>
    </xf>
    <xf numFmtId="0" fontId="0" fillId="49" borderId="0" xfId="0" applyFill="1" applyBorder="1"/>
    <xf numFmtId="0" fontId="0" fillId="39" borderId="53" xfId="0" applyFill="1" applyBorder="1"/>
    <xf numFmtId="0" fontId="0" fillId="40" borderId="53" xfId="0" applyFill="1" applyBorder="1"/>
    <xf numFmtId="9" fontId="0" fillId="44" borderId="53" xfId="42" applyFont="1" applyFill="1" applyBorder="1" applyAlignment="1">
      <alignment horizontal="left" vertical="center"/>
    </xf>
    <xf numFmtId="0" fontId="0" fillId="41" borderId="53" xfId="0" applyFill="1" applyBorder="1" applyAlignment="1">
      <alignment horizontal="left" vertical="center"/>
    </xf>
    <xf numFmtId="9" fontId="0" fillId="45" borderId="53" xfId="42" applyFont="1" applyFill="1" applyBorder="1" applyAlignment="1">
      <alignment horizontal="left" vertical="center"/>
    </xf>
    <xf numFmtId="0" fontId="0" fillId="46" borderId="53" xfId="0" applyFill="1" applyBorder="1" applyAlignment="1">
      <alignment horizontal="left" vertical="center"/>
    </xf>
    <xf numFmtId="164" fontId="0" fillId="39" borderId="98" xfId="42" applyNumberFormat="1" applyFont="1" applyFill="1" applyBorder="1" applyAlignment="1">
      <alignment horizontal="center"/>
    </xf>
    <xf numFmtId="164" fontId="0" fillId="40" borderId="98" xfId="42" applyNumberFormat="1" applyFont="1" applyFill="1" applyBorder="1" applyAlignment="1">
      <alignment horizontal="center"/>
    </xf>
    <xf numFmtId="164" fontId="0" fillId="44" borderId="98" xfId="0" applyNumberFormat="1" applyFill="1" applyBorder="1" applyAlignment="1">
      <alignment horizontal="center" vertical="center"/>
    </xf>
    <xf numFmtId="164" fontId="0" fillId="41" borderId="98" xfId="0" applyNumberFormat="1" applyFill="1" applyBorder="1" applyAlignment="1">
      <alignment horizontal="center" vertical="center"/>
    </xf>
    <xf numFmtId="164" fontId="0" fillId="45" borderId="98" xfId="0" applyNumberFormat="1" applyFill="1" applyBorder="1" applyAlignment="1">
      <alignment horizontal="center" vertical="center"/>
    </xf>
    <xf numFmtId="164" fontId="0" fillId="46" borderId="98" xfId="0" applyNumberFormat="1" applyFill="1" applyBorder="1" applyAlignment="1">
      <alignment horizontal="center" vertical="center"/>
    </xf>
    <xf numFmtId="164" fontId="0" fillId="0" borderId="98" xfId="0" applyNumberFormat="1" applyBorder="1" applyAlignment="1">
      <alignment horizontal="center"/>
    </xf>
    <xf numFmtId="167" fontId="41" fillId="39" borderId="53" xfId="42" applyNumberFormat="1" applyFont="1" applyFill="1" applyBorder="1" applyAlignment="1">
      <alignment horizontal="right"/>
    </xf>
    <xf numFmtId="3" fontId="54" fillId="37" borderId="53" xfId="0" applyNumberFormat="1" applyFont="1" applyFill="1" applyBorder="1" applyAlignment="1">
      <alignment horizontal="center"/>
    </xf>
    <xf numFmtId="9" fontId="41" fillId="37" borderId="53" xfId="42" applyFont="1" applyFill="1" applyBorder="1" applyAlignment="1">
      <alignment horizontal="center"/>
    </xf>
    <xf numFmtId="3" fontId="41" fillId="37" borderId="53" xfId="0" applyNumberFormat="1" applyFont="1" applyFill="1" applyBorder="1" applyAlignment="1">
      <alignment horizontal="center"/>
    </xf>
    <xf numFmtId="167" fontId="41" fillId="40" borderId="53" xfId="42" applyNumberFormat="1" applyFont="1" applyFill="1" applyBorder="1" applyAlignment="1">
      <alignment horizontal="right"/>
    </xf>
    <xf numFmtId="167" fontId="41" fillId="44" borderId="53" xfId="0" applyNumberFormat="1" applyFont="1" applyFill="1" applyBorder="1" applyAlignment="1">
      <alignment horizontal="right" vertical="center"/>
    </xf>
    <xf numFmtId="167" fontId="41" fillId="41" borderId="53" xfId="0" applyNumberFormat="1" applyFont="1" applyFill="1" applyBorder="1" applyAlignment="1">
      <alignment horizontal="right" vertical="center"/>
    </xf>
    <xf numFmtId="167" fontId="41" fillId="45" borderId="53" xfId="0" applyNumberFormat="1" applyFont="1" applyFill="1" applyBorder="1" applyAlignment="1">
      <alignment horizontal="right" vertical="center"/>
    </xf>
    <xf numFmtId="167" fontId="41" fillId="46" borderId="53" xfId="0" applyNumberFormat="1" applyFont="1" applyFill="1" applyBorder="1" applyAlignment="1">
      <alignment horizontal="right" vertical="center"/>
    </xf>
    <xf numFmtId="167" fontId="41" fillId="0" borderId="53" xfId="0" applyNumberFormat="1" applyFont="1" applyFill="1" applyBorder="1" applyAlignment="1">
      <alignment horizontal="right" vertical="center"/>
    </xf>
    <xf numFmtId="3" fontId="52" fillId="0" borderId="53" xfId="0" applyNumberFormat="1" applyFont="1" applyFill="1" applyBorder="1" applyAlignment="1">
      <alignment horizontal="center" vertical="center"/>
    </xf>
    <xf numFmtId="3" fontId="54" fillId="0" borderId="53" xfId="0" applyNumberFormat="1" applyFont="1" applyBorder="1" applyAlignment="1">
      <alignment horizontal="center" vertical="center"/>
    </xf>
    <xf numFmtId="3" fontId="52" fillId="0" borderId="53" xfId="0" applyNumberFormat="1" applyFont="1" applyBorder="1" applyAlignment="1">
      <alignment horizontal="center" vertical="center"/>
    </xf>
    <xf numFmtId="9" fontId="52" fillId="0" borderId="53" xfId="42" applyFont="1" applyBorder="1" applyAlignment="1">
      <alignment horizontal="center" vertical="center"/>
    </xf>
    <xf numFmtId="9" fontId="41" fillId="0" borderId="53" xfId="42" applyFont="1" applyBorder="1" applyAlignment="1">
      <alignment horizontal="center" vertical="center"/>
    </xf>
    <xf numFmtId="164" fontId="67" fillId="0" borderId="53" xfId="0" applyNumberFormat="1" applyFont="1" applyFill="1" applyBorder="1"/>
    <xf numFmtId="1" fontId="67" fillId="0" borderId="53" xfId="0" applyNumberFormat="1" applyFont="1" applyFill="1" applyBorder="1"/>
    <xf numFmtId="2" fontId="67" fillId="0" borderId="53" xfId="0" applyNumberFormat="1" applyFont="1" applyFill="1" applyBorder="1"/>
    <xf numFmtId="0" fontId="32" fillId="54" borderId="55" xfId="0" applyFont="1" applyFill="1" applyBorder="1" applyAlignment="1">
      <alignment horizontal="center" vertical="center" wrapText="1"/>
    </xf>
    <xf numFmtId="0" fontId="69" fillId="54" borderId="116" xfId="0" applyFont="1" applyFill="1" applyBorder="1" applyAlignment="1">
      <alignment horizontal="left" vertical="center" textRotation="90" wrapText="1"/>
    </xf>
    <xf numFmtId="0" fontId="69" fillId="54" borderId="115" xfId="0" applyFont="1" applyFill="1" applyBorder="1" applyAlignment="1">
      <alignment horizontal="left" vertical="center" textRotation="90" wrapText="1"/>
    </xf>
    <xf numFmtId="0" fontId="69" fillId="54" borderId="115" xfId="0" applyFont="1" applyFill="1" applyBorder="1" applyAlignment="1">
      <alignment vertical="center" textRotation="90" wrapText="1"/>
    </xf>
    <xf numFmtId="0" fontId="70" fillId="54" borderId="118" xfId="0" applyFont="1" applyFill="1" applyBorder="1" applyAlignment="1">
      <alignment horizontal="center" vertical="center" wrapText="1"/>
    </xf>
    <xf numFmtId="0" fontId="70" fillId="54" borderId="119" xfId="0" applyFont="1" applyFill="1" applyBorder="1" applyAlignment="1">
      <alignment horizontal="center" vertical="center" wrapText="1"/>
    </xf>
    <xf numFmtId="0" fontId="67" fillId="0" borderId="53" xfId="0" applyFont="1" applyFill="1" applyBorder="1" applyAlignment="1">
      <alignment horizontal="left" vertical="center" wrapText="1"/>
    </xf>
    <xf numFmtId="3" fontId="55" fillId="0" borderId="57" xfId="0" applyNumberFormat="1" applyFont="1" applyBorder="1" applyAlignment="1">
      <alignment horizontal="right" vertical="center" wrapText="1"/>
    </xf>
    <xf numFmtId="0" fontId="55" fillId="0" borderId="57" xfId="0" applyFont="1" applyBorder="1" applyAlignment="1">
      <alignment horizontal="right" vertical="center" wrapText="1"/>
    </xf>
    <xf numFmtId="0" fontId="72" fillId="54" borderId="118" xfId="0" applyFont="1" applyFill="1" applyBorder="1" applyAlignment="1">
      <alignment horizontal="center" vertical="center" wrapText="1"/>
    </xf>
    <xf numFmtId="0" fontId="72" fillId="54" borderId="119" xfId="0" applyFont="1" applyFill="1" applyBorder="1" applyAlignment="1">
      <alignment horizontal="center" vertical="center" wrapText="1"/>
    </xf>
    <xf numFmtId="0" fontId="69" fillId="54" borderId="118" xfId="0" applyFont="1" applyFill="1" applyBorder="1" applyAlignment="1">
      <alignment horizontal="left" vertical="center" textRotation="90" wrapText="1"/>
    </xf>
    <xf numFmtId="0" fontId="69" fillId="54" borderId="119" xfId="0" applyFont="1" applyFill="1" applyBorder="1" applyAlignment="1">
      <alignment horizontal="left" vertical="center" textRotation="90" wrapText="1"/>
    </xf>
    <xf numFmtId="1" fontId="55" fillId="0" borderId="118" xfId="0" applyNumberFormat="1" applyFont="1" applyBorder="1" applyAlignment="1">
      <alignment horizontal="right" vertical="center"/>
    </xf>
    <xf numFmtId="1" fontId="55" fillId="0" borderId="119" xfId="0" applyNumberFormat="1" applyFont="1" applyBorder="1" applyAlignment="1">
      <alignment horizontal="center" vertical="center"/>
    </xf>
    <xf numFmtId="1" fontId="55" fillId="0" borderId="119" xfId="0" applyNumberFormat="1" applyFont="1" applyBorder="1" applyAlignment="1">
      <alignment horizontal="right" vertical="center"/>
    </xf>
    <xf numFmtId="3" fontId="54" fillId="0" borderId="119" xfId="0" applyNumberFormat="1" applyFont="1" applyFill="1" applyBorder="1" applyAlignment="1">
      <alignment horizontal="right" vertical="center"/>
    </xf>
    <xf numFmtId="1" fontId="73" fillId="0" borderId="118" xfId="0" applyNumberFormat="1" applyFont="1" applyFill="1" applyBorder="1" applyAlignment="1">
      <alignment horizontal="center" vertical="center"/>
    </xf>
    <xf numFmtId="0" fontId="0" fillId="0" borderId="0" xfId="0" applyFill="1"/>
    <xf numFmtId="1" fontId="31" fillId="0" borderId="118" xfId="0" applyNumberFormat="1" applyFont="1" applyFill="1" applyBorder="1" applyAlignment="1">
      <alignment horizontal="center" vertical="center"/>
    </xf>
    <xf numFmtId="1" fontId="31" fillId="0" borderId="119" xfId="0" applyNumberFormat="1" applyFont="1" applyFill="1" applyBorder="1" applyAlignment="1">
      <alignment horizontal="center" vertical="center"/>
    </xf>
    <xf numFmtId="1" fontId="74" fillId="0" borderId="118" xfId="0" applyNumberFormat="1" applyFont="1" applyFill="1" applyBorder="1" applyAlignment="1">
      <alignment horizontal="center" vertical="center"/>
    </xf>
    <xf numFmtId="1" fontId="74" fillId="0" borderId="119" xfId="0" applyNumberFormat="1" applyFont="1" applyFill="1" applyBorder="1" applyAlignment="1">
      <alignment horizontal="center" vertical="center"/>
    </xf>
    <xf numFmtId="0" fontId="34" fillId="0" borderId="56" xfId="0" applyFont="1" applyBorder="1" applyAlignment="1">
      <alignment vertical="center"/>
    </xf>
    <xf numFmtId="0" fontId="32" fillId="54" borderId="55" xfId="0" applyFont="1" applyFill="1" applyBorder="1" applyAlignment="1">
      <alignment horizontal="center" vertical="center" wrapText="1"/>
    </xf>
    <xf numFmtId="1" fontId="73" fillId="0" borderId="119" xfId="0" applyNumberFormat="1" applyFont="1" applyFill="1" applyBorder="1" applyAlignment="1">
      <alignment horizontal="center" vertical="center"/>
    </xf>
    <xf numFmtId="164" fontId="67" fillId="0" borderId="78" xfId="0" applyNumberFormat="1" applyFont="1" applyFill="1" applyBorder="1"/>
    <xf numFmtId="1" fontId="55" fillId="0" borderId="115" xfId="0" applyNumberFormat="1" applyFont="1" applyBorder="1" applyAlignment="1">
      <alignment horizontal="right" vertical="center"/>
    </xf>
    <xf numFmtId="1" fontId="55" fillId="0" borderId="116" xfId="0" applyNumberFormat="1" applyFont="1" applyBorder="1" applyAlignment="1">
      <alignment horizontal="center" vertical="center"/>
    </xf>
    <xf numFmtId="1" fontId="55" fillId="0" borderId="116" xfId="0" applyNumberFormat="1" applyFont="1" applyBorder="1" applyAlignment="1">
      <alignment horizontal="right" vertical="center"/>
    </xf>
    <xf numFmtId="0" fontId="0" fillId="44" borderId="53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53" xfId="0" applyBorder="1"/>
    <xf numFmtId="0" fontId="0" fillId="45" borderId="53" xfId="0" applyFill="1" applyBorder="1" applyAlignment="1">
      <alignment horizontal="left" vertical="center"/>
    </xf>
    <xf numFmtId="0" fontId="0" fillId="39" borderId="47" xfId="0" applyFill="1" applyBorder="1"/>
    <xf numFmtId="0" fontId="0" fillId="39" borderId="48" xfId="0" applyFill="1" applyBorder="1"/>
    <xf numFmtId="0" fontId="0" fillId="49" borderId="48" xfId="0" applyFill="1" applyBorder="1"/>
    <xf numFmtId="0" fontId="19" fillId="0" borderId="51" xfId="0" applyFont="1" applyBorder="1" applyAlignment="1">
      <alignment horizontal="center" vertical="top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2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right" vertical="center" wrapText="1"/>
    </xf>
    <xf numFmtId="0" fontId="22" fillId="33" borderId="31" xfId="0" applyFont="1" applyFill="1" applyBorder="1" applyAlignment="1">
      <alignment horizontal="right" vertical="center" wrapText="1"/>
    </xf>
    <xf numFmtId="0" fontId="22" fillId="33" borderId="36" xfId="0" applyFont="1" applyFill="1" applyBorder="1" applyAlignment="1">
      <alignment horizontal="center" vertical="center" wrapText="1"/>
    </xf>
    <xf numFmtId="0" fontId="22" fillId="33" borderId="37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32" fillId="54" borderId="55" xfId="0" applyFont="1" applyFill="1" applyBorder="1" applyAlignment="1">
      <alignment horizontal="center" vertical="center" wrapText="1"/>
    </xf>
    <xf numFmtId="0" fontId="32" fillId="54" borderId="54" xfId="0" applyFont="1" applyFill="1" applyBorder="1" applyAlignment="1">
      <alignment horizontal="center" vertical="center"/>
    </xf>
    <xf numFmtId="0" fontId="5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1" fontId="55" fillId="0" borderId="57" xfId="0" applyNumberFormat="1" applyFont="1" applyBorder="1" applyAlignment="1">
      <alignment horizontal="center" vertical="center"/>
    </xf>
    <xf numFmtId="1" fontId="75" fillId="0" borderId="57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54" borderId="118" xfId="0" applyFont="1" applyFill="1" applyBorder="1" applyAlignment="1">
      <alignment horizontal="center" vertical="center" wrapText="1"/>
    </xf>
    <xf numFmtId="0" fontId="32" fillId="54" borderId="119" xfId="0" applyFont="1" applyFill="1" applyBorder="1" applyAlignment="1">
      <alignment horizontal="center" vertical="center" wrapText="1"/>
    </xf>
    <xf numFmtId="43" fontId="77" fillId="0" borderId="53" xfId="43" applyFont="1" applyFill="1" applyBorder="1"/>
    <xf numFmtId="0" fontId="78" fillId="59" borderId="53" xfId="0" applyFont="1" applyFill="1" applyBorder="1"/>
    <xf numFmtId="0" fontId="79" fillId="54" borderId="118" xfId="0" applyFont="1" applyFill="1" applyBorder="1" applyAlignment="1">
      <alignment horizontal="center" vertical="center"/>
    </xf>
    <xf numFmtId="0" fontId="80" fillId="54" borderId="119" xfId="0" applyFont="1" applyFill="1" applyBorder="1" applyAlignment="1">
      <alignment vertical="center" textRotation="90" wrapText="1"/>
    </xf>
    <xf numFmtId="0" fontId="34" fillId="0" borderId="124" xfId="0" applyFont="1" applyBorder="1" applyAlignment="1">
      <alignment vertical="center"/>
    </xf>
    <xf numFmtId="0" fontId="52" fillId="0" borderId="125" xfId="0" applyFont="1" applyBorder="1" applyAlignment="1">
      <alignment horizontal="center" vertical="center"/>
    </xf>
    <xf numFmtId="1" fontId="52" fillId="0" borderId="125" xfId="0" applyNumberFormat="1" applyFont="1" applyBorder="1" applyAlignment="1">
      <alignment horizontal="center" vertical="center"/>
    </xf>
    <xf numFmtId="3" fontId="52" fillId="0" borderId="125" xfId="0" applyNumberFormat="1" applyFont="1" applyBorder="1" applyAlignment="1">
      <alignment horizontal="center" vertical="center"/>
    </xf>
    <xf numFmtId="0" fontId="32" fillId="54" borderId="119" xfId="0" applyFont="1" applyFill="1" applyBorder="1" applyAlignment="1">
      <alignment vertical="center" textRotation="90" wrapText="1"/>
    </xf>
    <xf numFmtId="0" fontId="33" fillId="54" borderId="119" xfId="0" applyFont="1" applyFill="1" applyBorder="1" applyAlignment="1">
      <alignment vertical="center" textRotation="90" wrapText="1"/>
    </xf>
    <xf numFmtId="0" fontId="74" fillId="0" borderId="125" xfId="0" applyFont="1" applyBorder="1" applyAlignment="1">
      <alignment horizontal="center" vertical="center" wrapText="1"/>
    </xf>
    <xf numFmtId="9" fontId="74" fillId="0" borderId="125" xfId="0" applyNumberFormat="1" applyFont="1" applyBorder="1" applyAlignment="1">
      <alignment horizontal="center" vertical="center"/>
    </xf>
    <xf numFmtId="9" fontId="81" fillId="0" borderId="125" xfId="0" applyNumberFormat="1" applyFont="1" applyBorder="1" applyAlignment="1">
      <alignment horizontal="center" vertical="center"/>
    </xf>
    <xf numFmtId="3" fontId="81" fillId="0" borderId="125" xfId="0" applyNumberFormat="1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1" fontId="74" fillId="0" borderId="125" xfId="0" applyNumberFormat="1" applyFont="1" applyBorder="1" applyAlignment="1">
      <alignment horizontal="center" vertical="center" wrapText="1"/>
    </xf>
    <xf numFmtId="1" fontId="74" fillId="0" borderId="125" xfId="0" applyNumberFormat="1" applyFont="1" applyBorder="1" applyAlignment="1">
      <alignment horizontal="center" vertical="center"/>
    </xf>
    <xf numFmtId="3" fontId="74" fillId="0" borderId="125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9" fillId="54" borderId="119" xfId="0" applyFont="1" applyFill="1" applyBorder="1" applyAlignment="1">
      <alignment horizontal="center" vertical="center" wrapText="1"/>
    </xf>
    <xf numFmtId="1" fontId="52" fillId="37" borderId="53" xfId="0" applyNumberFormat="1" applyFont="1" applyFill="1" applyBorder="1" applyAlignment="1">
      <alignment horizontal="center"/>
    </xf>
    <xf numFmtId="0" fontId="52" fillId="37" borderId="53" xfId="0" applyFont="1" applyFill="1" applyBorder="1" applyAlignment="1">
      <alignment horizontal="center"/>
    </xf>
    <xf numFmtId="1" fontId="16" fillId="37" borderId="59" xfId="0" applyNumberFormat="1" applyFont="1" applyFill="1" applyBorder="1" applyAlignment="1">
      <alignment horizontal="center"/>
    </xf>
    <xf numFmtId="0" fontId="16" fillId="37" borderId="53" xfId="0" applyFont="1" applyFill="1" applyBorder="1" applyAlignment="1">
      <alignment horizontal="center"/>
    </xf>
    <xf numFmtId="1" fontId="16" fillId="37" borderId="60" xfId="0" applyNumberFormat="1" applyFont="1" applyFill="1" applyBorder="1" applyAlignment="1">
      <alignment horizontal="center"/>
    </xf>
    <xf numFmtId="1" fontId="16" fillId="37" borderId="53" xfId="0" applyNumberFormat="1" applyFont="1" applyFill="1" applyBorder="1" applyAlignment="1">
      <alignment horizontal="center"/>
    </xf>
    <xf numFmtId="0" fontId="16" fillId="37" borderId="60" xfId="0" applyFont="1" applyFill="1" applyBorder="1" applyAlignment="1">
      <alignment horizontal="center"/>
    </xf>
    <xf numFmtId="9" fontId="16" fillId="37" borderId="59" xfId="42" applyFont="1" applyFill="1" applyBorder="1" applyAlignment="1">
      <alignment horizontal="center"/>
    </xf>
    <xf numFmtId="9" fontId="16" fillId="37" borderId="53" xfId="42" applyFont="1" applyFill="1" applyBorder="1" applyAlignment="1">
      <alignment horizontal="center"/>
    </xf>
    <xf numFmtId="9" fontId="16" fillId="37" borderId="60" xfId="42" applyFont="1" applyFill="1" applyBorder="1" applyAlignment="1">
      <alignment horizontal="center"/>
    </xf>
    <xf numFmtId="1" fontId="16" fillId="0" borderId="71" xfId="0" applyNumberFormat="1" applyFont="1" applyFill="1" applyBorder="1" applyAlignment="1">
      <alignment horizontal="center"/>
    </xf>
    <xf numFmtId="0" fontId="84" fillId="38" borderId="52" xfId="0" applyFont="1" applyFill="1" applyBorder="1" applyAlignment="1">
      <alignment horizontal="center" textRotation="90" wrapText="1"/>
    </xf>
    <xf numFmtId="0" fontId="85" fillId="38" borderId="0" xfId="0" quotePrefix="1" applyFont="1" applyFill="1" applyBorder="1" applyAlignment="1">
      <alignment horizontal="left" wrapText="1"/>
    </xf>
    <xf numFmtId="2" fontId="86" fillId="0" borderId="59" xfId="0" applyNumberFormat="1" applyFont="1" applyFill="1" applyBorder="1" applyAlignment="1">
      <alignment horizontal="center"/>
    </xf>
    <xf numFmtId="2" fontId="86" fillId="0" borderId="53" xfId="0" applyNumberFormat="1" applyFont="1" applyFill="1" applyBorder="1" applyAlignment="1">
      <alignment horizontal="center"/>
    </xf>
    <xf numFmtId="2" fontId="86" fillId="0" borderId="60" xfId="0" applyNumberFormat="1" applyFont="1" applyFill="1" applyBorder="1" applyAlignment="1">
      <alignment horizontal="center"/>
    </xf>
    <xf numFmtId="1" fontId="78" fillId="0" borderId="0" xfId="0" applyNumberFormat="1" applyFont="1" applyAlignment="1">
      <alignment horizontal="center"/>
    </xf>
    <xf numFmtId="1" fontId="86" fillId="0" borderId="59" xfId="0" applyNumberFormat="1" applyFont="1" applyBorder="1" applyAlignment="1">
      <alignment horizontal="center"/>
    </xf>
    <xf numFmtId="1" fontId="86" fillId="0" borderId="53" xfId="0" applyNumberFormat="1" applyFont="1" applyBorder="1" applyAlignment="1">
      <alignment horizontal="center"/>
    </xf>
    <xf numFmtId="1" fontId="86" fillId="0" borderId="60" xfId="0" applyNumberFormat="1" applyFont="1" applyBorder="1" applyAlignment="1">
      <alignment horizontal="center"/>
    </xf>
    <xf numFmtId="1" fontId="86" fillId="0" borderId="59" xfId="0" applyNumberFormat="1" applyFont="1" applyFill="1" applyBorder="1" applyAlignment="1">
      <alignment horizontal="center"/>
    </xf>
    <xf numFmtId="1" fontId="86" fillId="0" borderId="53" xfId="0" applyNumberFormat="1" applyFont="1" applyFill="1" applyBorder="1" applyAlignment="1">
      <alignment horizontal="center"/>
    </xf>
    <xf numFmtId="0" fontId="78" fillId="0" borderId="0" xfId="0" applyFont="1"/>
    <xf numFmtId="1" fontId="86" fillId="0" borderId="66" xfId="0" applyNumberFormat="1" applyFont="1" applyBorder="1" applyAlignment="1">
      <alignment horizontal="center"/>
    </xf>
    <xf numFmtId="1" fontId="86" fillId="0" borderId="58" xfId="0" applyNumberFormat="1" applyFont="1" applyBorder="1" applyAlignment="1">
      <alignment horizontal="center"/>
    </xf>
    <xf numFmtId="1" fontId="86" fillId="0" borderId="65" xfId="0" applyNumberFormat="1" applyFont="1" applyBorder="1" applyAlignment="1">
      <alignment horizontal="center"/>
    </xf>
    <xf numFmtId="167" fontId="86" fillId="39" borderId="46" xfId="42" applyNumberFormat="1" applyFont="1" applyFill="1" applyBorder="1" applyAlignment="1">
      <alignment horizontal="right"/>
    </xf>
    <xf numFmtId="167" fontId="86" fillId="40" borderId="46" xfId="42" applyNumberFormat="1" applyFont="1" applyFill="1" applyBorder="1" applyAlignment="1">
      <alignment horizontal="right"/>
    </xf>
    <xf numFmtId="167" fontId="86" fillId="44" borderId="45" xfId="0" applyNumberFormat="1" applyFont="1" applyFill="1" applyBorder="1" applyAlignment="1">
      <alignment horizontal="right" vertical="center"/>
    </xf>
    <xf numFmtId="167" fontId="86" fillId="44" borderId="40" xfId="0" applyNumberFormat="1" applyFont="1" applyFill="1" applyBorder="1" applyAlignment="1">
      <alignment horizontal="right" vertical="center"/>
    </xf>
    <xf numFmtId="167" fontId="86" fillId="41" borderId="45" xfId="0" applyNumberFormat="1" applyFont="1" applyFill="1" applyBorder="1" applyAlignment="1">
      <alignment horizontal="right" vertical="center"/>
    </xf>
    <xf numFmtId="167" fontId="86" fillId="41" borderId="40" xfId="0" applyNumberFormat="1" applyFont="1" applyFill="1" applyBorder="1" applyAlignment="1">
      <alignment horizontal="right" vertical="center"/>
    </xf>
    <xf numFmtId="167" fontId="86" fillId="41" borderId="11" xfId="0" applyNumberFormat="1" applyFont="1" applyFill="1" applyBorder="1" applyAlignment="1">
      <alignment horizontal="right" vertical="center"/>
    </xf>
    <xf numFmtId="167" fontId="86" fillId="45" borderId="45" xfId="0" applyNumberFormat="1" applyFont="1" applyFill="1" applyBorder="1" applyAlignment="1">
      <alignment horizontal="right" vertical="center"/>
    </xf>
    <xf numFmtId="167" fontId="86" fillId="45" borderId="40" xfId="0" applyNumberFormat="1" applyFont="1" applyFill="1" applyBorder="1" applyAlignment="1">
      <alignment horizontal="right" vertical="center"/>
    </xf>
    <xf numFmtId="167" fontId="86" fillId="45" borderId="11" xfId="0" applyNumberFormat="1" applyFont="1" applyFill="1" applyBorder="1" applyAlignment="1">
      <alignment horizontal="right" vertical="center"/>
    </xf>
    <xf numFmtId="167" fontId="86" fillId="46" borderId="45" xfId="0" applyNumberFormat="1" applyFont="1" applyFill="1" applyBorder="1" applyAlignment="1">
      <alignment horizontal="right" vertical="center"/>
    </xf>
    <xf numFmtId="167" fontId="86" fillId="46" borderId="40" xfId="0" applyNumberFormat="1" applyFont="1" applyFill="1" applyBorder="1" applyAlignment="1">
      <alignment horizontal="right" vertical="center"/>
    </xf>
    <xf numFmtId="167" fontId="86" fillId="46" borderId="11" xfId="0" applyNumberFormat="1" applyFont="1" applyFill="1" applyBorder="1" applyAlignment="1">
      <alignment horizontal="right" vertical="center"/>
    </xf>
    <xf numFmtId="167" fontId="86" fillId="0" borderId="45" xfId="0" applyNumberFormat="1" applyFont="1" applyFill="1" applyBorder="1" applyAlignment="1">
      <alignment horizontal="right" vertical="center"/>
    </xf>
    <xf numFmtId="167" fontId="86" fillId="0" borderId="46" xfId="0" applyNumberFormat="1" applyFont="1" applyFill="1" applyBorder="1" applyAlignment="1">
      <alignment horizontal="right" vertical="center"/>
    </xf>
    <xf numFmtId="3" fontId="86" fillId="37" borderId="74" xfId="0" applyNumberFormat="1" applyFont="1" applyFill="1" applyBorder="1" applyAlignment="1">
      <alignment horizontal="center"/>
    </xf>
    <xf numFmtId="3" fontId="86" fillId="37" borderId="58" xfId="0" applyNumberFormat="1" applyFont="1" applyFill="1" applyBorder="1" applyAlignment="1">
      <alignment horizontal="center"/>
    </xf>
    <xf numFmtId="3" fontId="86" fillId="37" borderId="65" xfId="0" applyNumberFormat="1" applyFont="1" applyFill="1" applyBorder="1" applyAlignment="1">
      <alignment horizontal="center"/>
    </xf>
    <xf numFmtId="3" fontId="86" fillId="37" borderId="75" xfId="0" applyNumberFormat="1" applyFont="1" applyFill="1" applyBorder="1" applyAlignment="1">
      <alignment horizontal="center"/>
    </xf>
    <xf numFmtId="3" fontId="86" fillId="37" borderId="76" xfId="0" applyNumberFormat="1" applyFont="1" applyFill="1" applyBorder="1" applyAlignment="1">
      <alignment horizontal="center"/>
    </xf>
    <xf numFmtId="3" fontId="86" fillId="0" borderId="46" xfId="0" applyNumberFormat="1" applyFont="1" applyBorder="1" applyAlignment="1">
      <alignment horizontal="center" vertical="center"/>
    </xf>
    <xf numFmtId="9" fontId="86" fillId="37" borderId="74" xfId="42" applyFont="1" applyFill="1" applyBorder="1" applyAlignment="1">
      <alignment horizontal="center"/>
    </xf>
    <xf numFmtId="9" fontId="86" fillId="37" borderId="65" xfId="42" applyFont="1" applyFill="1" applyBorder="1" applyAlignment="1">
      <alignment horizontal="center"/>
    </xf>
    <xf numFmtId="9" fontId="86" fillId="37" borderId="75" xfId="42" applyFont="1" applyFill="1" applyBorder="1" applyAlignment="1">
      <alignment horizontal="center"/>
    </xf>
    <xf numFmtId="9" fontId="86" fillId="37" borderId="76" xfId="42" applyFont="1" applyFill="1" applyBorder="1" applyAlignment="1">
      <alignment horizontal="center"/>
    </xf>
    <xf numFmtId="9" fontId="86" fillId="0" borderId="46" xfId="42" applyFont="1" applyBorder="1" applyAlignment="1">
      <alignment horizontal="center" vertical="center"/>
    </xf>
    <xf numFmtId="2" fontId="51" fillId="0" borderId="53" xfId="0" applyNumberFormat="1" applyFont="1" applyBorder="1" applyAlignment="1">
      <alignment horizontal="center"/>
    </xf>
    <xf numFmtId="0" fontId="20" fillId="47" borderId="0" xfId="0" applyFont="1" applyFill="1" applyAlignment="1">
      <alignment vertical="top" wrapText="1"/>
    </xf>
    <xf numFmtId="0" fontId="78" fillId="59" borderId="0" xfId="0" applyFont="1" applyFill="1"/>
    <xf numFmtId="0" fontId="87" fillId="59" borderId="0" xfId="0" applyFont="1" applyFill="1" applyAlignment="1">
      <alignment vertical="center"/>
    </xf>
    <xf numFmtId="0" fontId="88" fillId="59" borderId="0" xfId="0" applyFont="1" applyFill="1" applyAlignment="1">
      <alignment vertical="top" wrapText="1"/>
    </xf>
    <xf numFmtId="0" fontId="78" fillId="59" borderId="0" xfId="0" applyFont="1" applyFill="1" applyAlignment="1">
      <alignment vertical="center"/>
    </xf>
    <xf numFmtId="0" fontId="88" fillId="59" borderId="0" xfId="0" applyFont="1" applyFill="1" applyAlignment="1">
      <alignment vertical="center"/>
    </xf>
    <xf numFmtId="0" fontId="88" fillId="59" borderId="0" xfId="0" applyFont="1" applyFill="1" applyAlignment="1">
      <alignment horizontal="left" vertical="center"/>
    </xf>
    <xf numFmtId="0" fontId="89" fillId="59" borderId="49" xfId="0" applyFont="1" applyFill="1" applyBorder="1" applyAlignment="1">
      <alignment horizontal="center" vertical="top" wrapText="1"/>
    </xf>
    <xf numFmtId="0" fontId="89" fillId="59" borderId="50" xfId="0" applyFont="1" applyFill="1" applyBorder="1" applyAlignment="1">
      <alignment horizontal="center" vertical="top" wrapText="1"/>
    </xf>
    <xf numFmtId="0" fontId="89" fillId="59" borderId="51" xfId="0" applyFont="1" applyFill="1" applyBorder="1" applyAlignment="1">
      <alignment horizontal="center" vertical="top" wrapText="1"/>
    </xf>
    <xf numFmtId="0" fontId="90" fillId="59" borderId="0" xfId="0" applyFont="1" applyFill="1" applyAlignment="1">
      <alignment vertical="top" wrapText="1"/>
    </xf>
    <xf numFmtId="0" fontId="89" fillId="59" borderId="0" xfId="0" applyFont="1" applyFill="1" applyAlignment="1">
      <alignment horizontal="center" vertical="top" wrapText="1"/>
    </xf>
    <xf numFmtId="2" fontId="90" fillId="59" borderId="0" xfId="0" applyNumberFormat="1" applyFont="1" applyFill="1" applyAlignment="1">
      <alignment vertical="top" wrapText="1"/>
    </xf>
    <xf numFmtId="0" fontId="91" fillId="59" borderId="0" xfId="0" applyFont="1" applyFill="1" applyAlignment="1">
      <alignment vertical="center"/>
    </xf>
    <xf numFmtId="0" fontId="91" fillId="59" borderId="0" xfId="0" applyFont="1" applyFill="1"/>
    <xf numFmtId="0" fontId="89" fillId="59" borderId="0" xfId="0" applyFont="1" applyFill="1" applyBorder="1" applyAlignment="1">
      <alignment horizontal="center" vertical="top" wrapText="1"/>
    </xf>
    <xf numFmtId="9" fontId="90" fillId="59" borderId="0" xfId="42" applyFont="1" applyFill="1" applyAlignment="1">
      <alignment vertical="top" wrapText="1"/>
    </xf>
    <xf numFmtId="0" fontId="92" fillId="59" borderId="0" xfId="0" applyFont="1" applyFill="1"/>
    <xf numFmtId="0" fontId="0" fillId="0" borderId="0" xfId="0"/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19" fillId="0" borderId="51" xfId="0" applyFont="1" applyBorder="1" applyAlignment="1">
      <alignment horizontal="center" vertical="top" wrapText="1"/>
    </xf>
    <xf numFmtId="166" fontId="51" fillId="0" borderId="53" xfId="0" applyNumberFormat="1" applyFont="1" applyFill="1" applyBorder="1" applyAlignment="1">
      <alignment horizontal="center"/>
    </xf>
    <xf numFmtId="0" fontId="38" fillId="55" borderId="0" xfId="0" applyFont="1" applyFill="1" applyAlignment="1">
      <alignment horizontal="center" vertical="center" wrapText="1"/>
    </xf>
    <xf numFmtId="0" fontId="44" fillId="55" borderId="12" xfId="0" applyFont="1" applyFill="1" applyBorder="1" applyAlignment="1">
      <alignment horizontal="center" vertical="center" wrapText="1"/>
    </xf>
    <xf numFmtId="0" fontId="44" fillId="55" borderId="39" xfId="0" applyFont="1" applyFill="1" applyBorder="1" applyAlignment="1">
      <alignment horizontal="center" vertical="center" wrapText="1"/>
    </xf>
    <xf numFmtId="0" fontId="38" fillId="55" borderId="41" xfId="0" applyFont="1" applyFill="1" applyBorder="1" applyAlignment="1">
      <alignment horizontal="center" vertical="center" wrapText="1"/>
    </xf>
    <xf numFmtId="0" fontId="44" fillId="55" borderId="45" xfId="0" applyFont="1" applyFill="1" applyBorder="1" applyAlignment="1">
      <alignment horizontal="center" vertical="center" wrapText="1"/>
    </xf>
    <xf numFmtId="0" fontId="44" fillId="0" borderId="41" xfId="0" applyFont="1" applyBorder="1" applyAlignment="1">
      <alignment horizontal="right" vertical="center" wrapText="1"/>
    </xf>
    <xf numFmtId="3" fontId="44" fillId="0" borderId="42" xfId="0" applyNumberFormat="1" applyFont="1" applyBorder="1" applyAlignment="1">
      <alignment horizontal="center" vertical="center"/>
    </xf>
    <xf numFmtId="0" fontId="38" fillId="52" borderId="42" xfId="0" applyFont="1" applyFill="1" applyBorder="1" applyAlignment="1">
      <alignment horizontal="right" vertical="center"/>
    </xf>
    <xf numFmtId="10" fontId="44" fillId="0" borderId="42" xfId="0" applyNumberFormat="1" applyFont="1" applyBorder="1" applyAlignment="1">
      <alignment horizontal="center" vertical="center"/>
    </xf>
    <xf numFmtId="10" fontId="38" fillId="52" borderId="11" xfId="0" applyNumberFormat="1" applyFont="1" applyFill="1" applyBorder="1" applyAlignment="1">
      <alignment horizontal="right" vertical="center"/>
    </xf>
    <xf numFmtId="0" fontId="44" fillId="56" borderId="41" xfId="0" applyFont="1" applyFill="1" applyBorder="1" applyAlignment="1">
      <alignment horizontal="right" vertical="center" wrapText="1"/>
    </xf>
    <xf numFmtId="3" fontId="44" fillId="56" borderId="42" xfId="0" applyNumberFormat="1" applyFont="1" applyFill="1" applyBorder="1" applyAlignment="1">
      <alignment horizontal="center" vertical="center"/>
    </xf>
    <xf numFmtId="0" fontId="38" fillId="57" borderId="42" xfId="0" applyFont="1" applyFill="1" applyBorder="1" applyAlignment="1">
      <alignment horizontal="right" vertical="center"/>
    </xf>
    <xf numFmtId="10" fontId="44" fillId="56" borderId="42" xfId="0" applyNumberFormat="1" applyFont="1" applyFill="1" applyBorder="1" applyAlignment="1">
      <alignment horizontal="center" vertical="center"/>
    </xf>
    <xf numFmtId="10" fontId="38" fillId="57" borderId="11" xfId="0" applyNumberFormat="1" applyFont="1" applyFill="1" applyBorder="1" applyAlignment="1">
      <alignment horizontal="right" vertical="center"/>
    </xf>
    <xf numFmtId="9" fontId="0" fillId="0" borderId="0" xfId="42" applyFont="1" applyAlignment="1">
      <alignment horizontal="center"/>
    </xf>
    <xf numFmtId="0" fontId="94" fillId="0" borderId="0" xfId="0" applyFont="1" applyAlignment="1">
      <alignment vertical="center"/>
    </xf>
    <xf numFmtId="10" fontId="20" fillId="0" borderId="0" xfId="0" applyNumberFormat="1" applyFont="1" applyAlignment="1">
      <alignment vertical="top" wrapText="1"/>
    </xf>
    <xf numFmtId="9" fontId="20" fillId="0" borderId="0" xfId="0" applyNumberFormat="1" applyFont="1" applyAlignment="1">
      <alignment vertical="top" wrapText="1"/>
    </xf>
    <xf numFmtId="0" fontId="19" fillId="0" borderId="53" xfId="0" applyFont="1" applyBorder="1" applyAlignment="1">
      <alignment horizontal="center" vertical="top" wrapText="1"/>
    </xf>
    <xf numFmtId="0" fontId="0" fillId="35" borderId="53" xfId="0" applyFill="1" applyBorder="1"/>
    <xf numFmtId="10" fontId="0" fillId="0" borderId="53" xfId="0" applyNumberFormat="1" applyBorder="1"/>
    <xf numFmtId="0" fontId="0" fillId="45" borderId="42" xfId="0" applyFill="1" applyBorder="1" applyAlignment="1">
      <alignment horizontal="left" vertical="center"/>
    </xf>
    <xf numFmtId="0" fontId="0" fillId="45" borderId="48" xfId="0" applyFill="1" applyBorder="1" applyAlignment="1">
      <alignment vertical="center"/>
    </xf>
    <xf numFmtId="0" fontId="0" fillId="45" borderId="48" xfId="0" applyFill="1" applyBorder="1" applyAlignment="1">
      <alignment horizontal="left" vertical="center"/>
    </xf>
    <xf numFmtId="0" fontId="0" fillId="45" borderId="46" xfId="0" applyFill="1" applyBorder="1" applyAlignment="1">
      <alignment horizontal="left" vertical="center"/>
    </xf>
    <xf numFmtId="0" fontId="0" fillId="45" borderId="47" xfId="0" applyFill="1" applyBorder="1" applyAlignment="1">
      <alignment horizontal="left" vertical="center"/>
    </xf>
    <xf numFmtId="0" fontId="0" fillId="39" borderId="12" xfId="0" applyFill="1" applyBorder="1" applyAlignment="1">
      <alignment vertical="center"/>
    </xf>
    <xf numFmtId="9" fontId="0" fillId="39" borderId="44" xfId="42" applyFont="1" applyFill="1" applyBorder="1" applyAlignment="1">
      <alignment horizontal="center" vertical="center"/>
    </xf>
    <xf numFmtId="165" fontId="41" fillId="39" borderId="44" xfId="0" applyNumberFormat="1" applyFont="1" applyFill="1" applyBorder="1" applyAlignment="1">
      <alignment horizontal="center" vertical="center"/>
    </xf>
    <xf numFmtId="0" fontId="0" fillId="40" borderId="48" xfId="0" applyFill="1" applyBorder="1" applyAlignment="1">
      <alignment vertical="center"/>
    </xf>
    <xf numFmtId="165" fontId="41" fillId="40" borderId="48" xfId="0" applyNumberFormat="1" applyFont="1" applyFill="1" applyBorder="1" applyAlignment="1">
      <alignment vertical="center"/>
    </xf>
    <xf numFmtId="0" fontId="0" fillId="40" borderId="46" xfId="0" applyFill="1" applyBorder="1" applyAlignment="1">
      <alignment vertical="center"/>
    </xf>
    <xf numFmtId="0" fontId="0" fillId="39" borderId="39" xfId="0" applyFill="1" applyBorder="1" applyAlignment="1">
      <alignment vertical="center"/>
    </xf>
    <xf numFmtId="0" fontId="0" fillId="40" borderId="44" xfId="0" applyFill="1" applyBorder="1" applyAlignment="1">
      <alignment vertical="center"/>
    </xf>
    <xf numFmtId="0" fontId="0" fillId="40" borderId="45" xfId="0" applyFill="1" applyBorder="1" applyAlignment="1">
      <alignment vertical="center"/>
    </xf>
    <xf numFmtId="0" fontId="0" fillId="40" borderId="0" xfId="0" applyFill="1" applyBorder="1" applyAlignment="1">
      <alignment vertical="center"/>
    </xf>
    <xf numFmtId="0" fontId="0" fillId="40" borderId="40" xfId="0" applyFill="1" applyBorder="1" applyAlignment="1">
      <alignment vertical="center"/>
    </xf>
    <xf numFmtId="0" fontId="0" fillId="40" borderId="42" xfId="0" applyFill="1" applyBorder="1" applyAlignment="1">
      <alignment vertical="center"/>
    </xf>
    <xf numFmtId="0" fontId="0" fillId="40" borderId="11" xfId="0" applyFill="1" applyBorder="1" applyAlignment="1">
      <alignment vertical="center"/>
    </xf>
    <xf numFmtId="9" fontId="0" fillId="45" borderId="48" xfId="0" applyNumberFormat="1" applyFill="1" applyBorder="1" applyAlignment="1">
      <alignment horizontal="center" vertical="center"/>
    </xf>
    <xf numFmtId="165" fontId="41" fillId="45" borderId="48" xfId="0" applyNumberFormat="1" applyFont="1" applyFill="1" applyBorder="1" applyAlignment="1">
      <alignment horizontal="right" vertical="center"/>
    </xf>
    <xf numFmtId="0" fontId="0" fillId="40" borderId="39" xfId="0" applyFill="1" applyBorder="1" applyAlignment="1">
      <alignment vertical="center"/>
    </xf>
    <xf numFmtId="0" fontId="0" fillId="42" borderId="47" xfId="0" applyFill="1" applyBorder="1" applyAlignment="1">
      <alignment vertical="center"/>
    </xf>
    <xf numFmtId="9" fontId="83" fillId="42" borderId="48" xfId="42" applyFont="1" applyFill="1" applyBorder="1" applyAlignment="1">
      <alignment horizontal="center" vertical="center"/>
    </xf>
    <xf numFmtId="166" fontId="41" fillId="42" borderId="48" xfId="42" applyNumberFormat="1" applyFont="1" applyFill="1" applyBorder="1" applyAlignment="1">
      <alignment horizontal="right" vertical="center"/>
    </xf>
    <xf numFmtId="0" fontId="0" fillId="42" borderId="48" xfId="0" applyFill="1" applyBorder="1" applyAlignment="1">
      <alignment vertical="center"/>
    </xf>
    <xf numFmtId="9" fontId="0" fillId="42" borderId="48" xfId="0" applyNumberFormat="1" applyFill="1" applyBorder="1" applyAlignment="1">
      <alignment horizontal="center" vertical="center"/>
    </xf>
    <xf numFmtId="165" fontId="41" fillId="42" borderId="48" xfId="0" applyNumberFormat="1" applyFont="1" applyFill="1" applyBorder="1" applyAlignment="1">
      <alignment horizontal="right" vertical="center"/>
    </xf>
    <xf numFmtId="0" fontId="0" fillId="42" borderId="46" xfId="0" applyFill="1" applyBorder="1" applyAlignment="1">
      <alignment vertical="center"/>
    </xf>
    <xf numFmtId="0" fontId="0" fillId="39" borderId="41" xfId="0" applyFill="1" applyBorder="1" applyAlignment="1">
      <alignment vertical="center"/>
    </xf>
    <xf numFmtId="0" fontId="0" fillId="40" borderId="41" xfId="0" applyFill="1" applyBorder="1" applyAlignment="1">
      <alignment vertical="center"/>
    </xf>
    <xf numFmtId="0" fontId="41" fillId="42" borderId="48" xfId="0" applyFont="1" applyFill="1" applyBorder="1" applyAlignment="1">
      <alignment vertical="center"/>
    </xf>
    <xf numFmtId="9" fontId="83" fillId="45" borderId="48" xfId="0" applyNumberFormat="1" applyFont="1" applyFill="1" applyBorder="1" applyAlignment="1">
      <alignment horizontal="center" vertical="center"/>
    </xf>
    <xf numFmtId="165" fontId="82" fillId="45" borderId="48" xfId="0" applyNumberFormat="1" applyFont="1" applyFill="1" applyBorder="1" applyAlignment="1">
      <alignment horizontal="right" vertical="center"/>
    </xf>
    <xf numFmtId="0" fontId="83" fillId="45" borderId="48" xfId="0" applyFont="1" applyFill="1" applyBorder="1" applyAlignment="1">
      <alignment horizontal="left" vertical="center"/>
    </xf>
    <xf numFmtId="0" fontId="83" fillId="45" borderId="46" xfId="0" applyFont="1" applyFill="1" applyBorder="1" applyAlignment="1">
      <alignment horizontal="left" vertical="center"/>
    </xf>
    <xf numFmtId="1" fontId="0" fillId="39" borderId="45" xfId="0" applyNumberFormat="1" applyFont="1" applyFill="1" applyBorder="1" applyAlignment="1">
      <alignment horizontal="center"/>
    </xf>
    <xf numFmtId="1" fontId="0" fillId="39" borderId="45" xfId="0" applyNumberFormat="1" applyFont="1" applyFill="1" applyBorder="1" applyAlignment="1">
      <alignment horizontal="center" vertical="center"/>
    </xf>
    <xf numFmtId="0" fontId="0" fillId="0" borderId="0" xfId="0" applyFont="1"/>
    <xf numFmtId="1" fontId="0" fillId="39" borderId="48" xfId="0" applyNumberFormat="1" applyFont="1" applyFill="1" applyBorder="1" applyAlignment="1">
      <alignment horizontal="center"/>
    </xf>
    <xf numFmtId="1" fontId="0" fillId="40" borderId="48" xfId="0" applyNumberFormat="1" applyFont="1" applyFill="1" applyBorder="1" applyAlignment="1">
      <alignment horizontal="center" vertical="center"/>
    </xf>
    <xf numFmtId="0" fontId="0" fillId="47" borderId="0" xfId="0" applyFill="1"/>
    <xf numFmtId="165" fontId="0" fillId="60" borderId="0" xfId="0" applyNumberFormat="1" applyFill="1"/>
    <xf numFmtId="0" fontId="0" fillId="60" borderId="0" xfId="0" quotePrefix="1" applyFill="1" applyAlignment="1">
      <alignment horizontal="right"/>
    </xf>
    <xf numFmtId="1" fontId="0" fillId="40" borderId="44" xfId="0" applyNumberFormat="1" applyFont="1" applyFill="1" applyBorder="1" applyAlignment="1">
      <alignment horizontal="center" vertical="center"/>
    </xf>
    <xf numFmtId="10" fontId="23" fillId="34" borderId="30" xfId="0" applyNumberFormat="1" applyFont="1" applyFill="1" applyBorder="1" applyAlignment="1">
      <alignment horizontal="right" vertical="center" wrapText="1"/>
    </xf>
    <xf numFmtId="9" fontId="0" fillId="40" borderId="48" xfId="0" applyNumberFormat="1" applyFill="1" applyBorder="1" applyAlignment="1">
      <alignment horizontal="center" vertical="center"/>
    </xf>
    <xf numFmtId="9" fontId="0" fillId="40" borderId="44" xfId="0" applyNumberFormat="1" applyFill="1" applyBorder="1" applyAlignment="1">
      <alignment horizontal="center" vertical="center"/>
    </xf>
    <xf numFmtId="1" fontId="1" fillId="42" borderId="44" xfId="42" applyNumberFormat="1" applyFont="1" applyFill="1" applyBorder="1" applyAlignment="1">
      <alignment horizontal="center" vertical="center"/>
    </xf>
    <xf numFmtId="0" fontId="0" fillId="45" borderId="47" xfId="0" applyFill="1" applyBorder="1" applyAlignment="1">
      <alignment vertical="center" wrapText="1"/>
    </xf>
    <xf numFmtId="0" fontId="83" fillId="45" borderId="47" xfId="0" applyFont="1" applyFill="1" applyBorder="1" applyAlignment="1">
      <alignment vertical="center" wrapText="1"/>
    </xf>
    <xf numFmtId="0" fontId="19" fillId="47" borderId="0" xfId="0" applyFont="1" applyFill="1" applyAlignment="1">
      <alignment horizontal="center" vertical="top" wrapText="1"/>
    </xf>
    <xf numFmtId="10" fontId="20" fillId="47" borderId="0" xfId="0" applyNumberFormat="1" applyFont="1" applyFill="1" applyAlignment="1">
      <alignment vertical="top" wrapText="1"/>
    </xf>
    <xf numFmtId="9" fontId="20" fillId="47" borderId="0" xfId="0" applyNumberFormat="1" applyFont="1" applyFill="1" applyAlignment="1">
      <alignment vertical="top" wrapText="1"/>
    </xf>
    <xf numFmtId="1" fontId="0" fillId="45" borderId="48" xfId="0" applyNumberFormat="1" applyFont="1" applyFill="1" applyBorder="1" applyAlignment="1">
      <alignment horizontal="center" vertical="center"/>
    </xf>
    <xf numFmtId="1" fontId="0" fillId="45" borderId="48" xfId="0" applyNumberFormat="1" applyFill="1" applyBorder="1" applyAlignment="1">
      <alignment horizontal="center" vertical="center"/>
    </xf>
    <xf numFmtId="1" fontId="83" fillId="45" borderId="48" xfId="0" applyNumberFormat="1" applyFont="1" applyFill="1" applyBorder="1" applyAlignment="1">
      <alignment horizontal="center" vertical="center"/>
    </xf>
    <xf numFmtId="9" fontId="0" fillId="45" borderId="48" xfId="42" applyFont="1" applyFill="1" applyBorder="1" applyAlignment="1">
      <alignment horizontal="left" vertical="center"/>
    </xf>
    <xf numFmtId="9" fontId="0" fillId="45" borderId="42" xfId="42" applyFont="1" applyFill="1" applyBorder="1" applyAlignment="1">
      <alignment horizontal="left" vertical="center"/>
    </xf>
    <xf numFmtId="0" fontId="83" fillId="0" borderId="0" xfId="0" applyFont="1" applyFill="1"/>
    <xf numFmtId="0" fontId="26" fillId="38" borderId="0" xfId="0" applyFont="1" applyFill="1" applyBorder="1" applyAlignment="1">
      <alignment wrapText="1"/>
    </xf>
    <xf numFmtId="1" fontId="0" fillId="45" borderId="46" xfId="42" applyNumberFormat="1" applyFont="1" applyFill="1" applyBorder="1" applyAlignment="1">
      <alignment horizontal="center" vertical="center"/>
    </xf>
    <xf numFmtId="0" fontId="95" fillId="38" borderId="0" xfId="0" quotePrefix="1" applyFont="1" applyFill="1" applyBorder="1" applyAlignment="1">
      <alignment horizontal="center" wrapText="1"/>
    </xf>
    <xf numFmtId="1" fontId="96" fillId="0" borderId="53" xfId="0" applyNumberFormat="1" applyFont="1" applyBorder="1" applyAlignment="1">
      <alignment horizontal="center"/>
    </xf>
    <xf numFmtId="1" fontId="97" fillId="0" borderId="53" xfId="0" applyNumberFormat="1" applyFont="1" applyFill="1" applyBorder="1" applyAlignment="1">
      <alignment horizontal="center"/>
    </xf>
    <xf numFmtId="0" fontId="97" fillId="0" borderId="53" xfId="0" applyFont="1" applyBorder="1"/>
    <xf numFmtId="0" fontId="85" fillId="38" borderId="0" xfId="0" quotePrefix="1" applyFont="1" applyFill="1" applyBorder="1" applyAlignment="1">
      <alignment horizontal="center" wrapText="1"/>
    </xf>
    <xf numFmtId="2" fontId="96" fillId="0" borderId="53" xfId="0" applyNumberFormat="1" applyFont="1" applyFill="1" applyBorder="1" applyAlignment="1">
      <alignment horizontal="center"/>
    </xf>
    <xf numFmtId="1" fontId="96" fillId="0" borderId="53" xfId="0" applyNumberFormat="1" applyFont="1" applyFill="1" applyBorder="1" applyAlignment="1">
      <alignment horizontal="center"/>
    </xf>
    <xf numFmtId="1" fontId="97" fillId="0" borderId="53" xfId="0" applyNumberFormat="1" applyFont="1" applyBorder="1" applyAlignment="1">
      <alignment horizontal="center"/>
    </xf>
    <xf numFmtId="0" fontId="85" fillId="37" borderId="0" xfId="0" quotePrefix="1" applyFont="1" applyFill="1" applyBorder="1" applyAlignment="1">
      <alignment horizontal="left" wrapText="1"/>
    </xf>
    <xf numFmtId="2" fontId="96" fillId="0" borderId="53" xfId="0" applyNumberFormat="1" applyFont="1" applyBorder="1" applyAlignment="1">
      <alignment horizontal="center"/>
    </xf>
    <xf numFmtId="3" fontId="96" fillId="37" borderId="53" xfId="0" applyNumberFormat="1" applyFont="1" applyFill="1" applyBorder="1" applyAlignment="1">
      <alignment horizontal="center"/>
    </xf>
    <xf numFmtId="0" fontId="78" fillId="0" borderId="0" xfId="0" applyFont="1" applyBorder="1"/>
    <xf numFmtId="3" fontId="96" fillId="0" borderId="53" xfId="0" applyNumberFormat="1" applyFont="1" applyBorder="1" applyAlignment="1">
      <alignment horizontal="center" vertical="center"/>
    </xf>
    <xf numFmtId="0" fontId="84" fillId="38" borderId="71" xfId="0" applyFont="1" applyFill="1" applyBorder="1" applyAlignment="1">
      <alignment horizontal="center" textRotation="90" wrapText="1"/>
    </xf>
    <xf numFmtId="9" fontId="86" fillId="37" borderId="53" xfId="42" applyFont="1" applyFill="1" applyBorder="1" applyAlignment="1">
      <alignment horizontal="center"/>
    </xf>
    <xf numFmtId="3" fontId="86" fillId="37" borderId="53" xfId="0" applyNumberFormat="1" applyFont="1" applyFill="1" applyBorder="1" applyAlignment="1">
      <alignment horizontal="center"/>
    </xf>
    <xf numFmtId="9" fontId="86" fillId="0" borderId="53" xfId="42" applyFont="1" applyBorder="1" applyAlignment="1">
      <alignment horizontal="center" vertical="center"/>
    </xf>
    <xf numFmtId="0" fontId="78" fillId="0" borderId="53" xfId="0" applyFont="1" applyBorder="1"/>
    <xf numFmtId="2" fontId="86" fillId="0" borderId="53" xfId="0" applyNumberFormat="1" applyFont="1" applyBorder="1" applyAlignment="1">
      <alignment horizontal="center"/>
    </xf>
    <xf numFmtId="1" fontId="78" fillId="0" borderId="53" xfId="0" applyNumberFormat="1" applyFont="1" applyBorder="1" applyAlignment="1">
      <alignment horizontal="center"/>
    </xf>
    <xf numFmtId="164" fontId="0" fillId="42" borderId="98" xfId="0" applyNumberFormat="1" applyFill="1" applyBorder="1" applyAlignment="1">
      <alignment horizontal="center"/>
    </xf>
    <xf numFmtId="0" fontId="32" fillId="54" borderId="118" xfId="0" applyFont="1" applyFill="1" applyBorder="1" applyAlignment="1">
      <alignment horizontal="center" wrapText="1"/>
    </xf>
    <xf numFmtId="0" fontId="32" fillId="54" borderId="119" xfId="0" applyFont="1" applyFill="1" applyBorder="1" applyAlignment="1">
      <alignment horizontal="center" wrapText="1"/>
    </xf>
    <xf numFmtId="0" fontId="79" fillId="54" borderId="118" xfId="0" applyFont="1" applyFill="1" applyBorder="1" applyAlignment="1">
      <alignment horizontal="left"/>
    </xf>
    <xf numFmtId="0" fontId="80" fillId="54" borderId="119" xfId="0" applyFont="1" applyFill="1" applyBorder="1" applyAlignment="1">
      <alignment horizontal="center" wrapText="1"/>
    </xf>
    <xf numFmtId="0" fontId="33" fillId="54" borderId="119" xfId="0" applyFont="1" applyFill="1" applyBorder="1" applyAlignment="1">
      <alignment horizontal="center" wrapText="1"/>
    </xf>
    <xf numFmtId="0" fontId="99" fillId="0" borderId="125" xfId="0" applyFont="1" applyBorder="1" applyAlignment="1">
      <alignment horizontal="left" vertical="center" wrapText="1"/>
    </xf>
    <xf numFmtId="9" fontId="99" fillId="0" borderId="125" xfId="42" applyFont="1" applyBorder="1" applyAlignment="1">
      <alignment horizontal="center" vertical="center" wrapText="1"/>
    </xf>
    <xf numFmtId="168" fontId="99" fillId="0" borderId="125" xfId="43" applyNumberFormat="1" applyFont="1" applyBorder="1" applyAlignment="1">
      <alignment horizontal="center" vertical="center"/>
    </xf>
    <xf numFmtId="0" fontId="0" fillId="47" borderId="53" xfId="0" applyFill="1" applyBorder="1"/>
    <xf numFmtId="0" fontId="34" fillId="0" borderId="56" xfId="0" applyFont="1" applyBorder="1" applyAlignment="1">
      <alignment vertical="center"/>
    </xf>
    <xf numFmtId="1" fontId="1" fillId="42" borderId="44" xfId="4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38" borderId="0" xfId="0" applyFont="1" applyFill="1" applyBorder="1" applyAlignment="1">
      <alignment horizontal="center" wrapText="1"/>
    </xf>
    <xf numFmtId="0" fontId="52" fillId="0" borderId="98" xfId="0" applyFont="1" applyBorder="1" applyAlignment="1">
      <alignment horizontal="right"/>
    </xf>
    <xf numFmtId="0" fontId="52" fillId="0" borderId="38" xfId="0" applyFont="1" applyBorder="1" applyAlignment="1">
      <alignment horizontal="right"/>
    </xf>
    <xf numFmtId="0" fontId="52" fillId="0" borderId="58" xfId="0" applyFont="1" applyBorder="1" applyAlignment="1">
      <alignment horizontal="right"/>
    </xf>
    <xf numFmtId="0" fontId="0" fillId="0" borderId="53" xfId="0" applyBorder="1"/>
    <xf numFmtId="0" fontId="19" fillId="0" borderId="5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44" fillId="55" borderId="44" xfId="0" applyFont="1" applyFill="1" applyBorder="1" applyAlignment="1">
      <alignment horizontal="center" vertical="center" wrapText="1"/>
    </xf>
    <xf numFmtId="0" fontId="32" fillId="54" borderId="55" xfId="0" applyFont="1" applyFill="1" applyBorder="1" applyAlignment="1">
      <alignment horizontal="center" vertical="center" wrapText="1"/>
    </xf>
    <xf numFmtId="0" fontId="32" fillId="54" borderId="100" xfId="0" applyFont="1" applyFill="1" applyBorder="1" applyAlignment="1">
      <alignment horizontal="center" vertical="center" wrapText="1"/>
    </xf>
    <xf numFmtId="0" fontId="83" fillId="62" borderId="0" xfId="0" applyFont="1" applyFill="1"/>
    <xf numFmtId="0" fontId="34" fillId="0" borderId="124" xfId="0" applyFont="1" applyBorder="1" applyAlignment="1">
      <alignment vertical="center"/>
    </xf>
    <xf numFmtId="0" fontId="34" fillId="0" borderId="56" xfId="0" applyFont="1" applyBorder="1" applyAlignment="1">
      <alignment vertical="center" wrapText="1"/>
    </xf>
    <xf numFmtId="0" fontId="51" fillId="0" borderId="57" xfId="0" applyFont="1" applyBorder="1" applyAlignment="1">
      <alignment vertical="center" wrapText="1"/>
    </xf>
    <xf numFmtId="0" fontId="51" fillId="0" borderId="77" xfId="0" applyFont="1" applyBorder="1" applyAlignment="1">
      <alignment vertical="center" wrapText="1"/>
    </xf>
    <xf numFmtId="0" fontId="32" fillId="54" borderId="119" xfId="0" applyFont="1" applyFill="1" applyBorder="1" applyAlignment="1">
      <alignment horizontal="left" vertical="center" textRotation="90" wrapText="1"/>
    </xf>
    <xf numFmtId="0" fontId="34" fillId="0" borderId="124" xfId="0" applyFont="1" applyBorder="1" applyAlignment="1">
      <alignment vertical="center" wrapText="1"/>
    </xf>
    <xf numFmtId="0" fontId="103" fillId="0" borderId="125" xfId="0" applyFont="1" applyBorder="1" applyAlignment="1">
      <alignment horizontal="center" vertical="center" wrapText="1"/>
    </xf>
    <xf numFmtId="0" fontId="57" fillId="0" borderId="125" xfId="0" applyFont="1" applyBorder="1" applyAlignment="1">
      <alignment vertical="center" wrapText="1"/>
    </xf>
    <xf numFmtId="0" fontId="34" fillId="0" borderId="124" xfId="0" applyFont="1" applyBorder="1" applyAlignment="1">
      <alignment horizontal="left" vertical="center" wrapText="1" indent="5"/>
    </xf>
    <xf numFmtId="0" fontId="105" fillId="0" borderId="124" xfId="0" applyFont="1" applyBorder="1" applyAlignment="1">
      <alignment horizontal="left" vertical="center" wrapText="1" indent="5"/>
    </xf>
    <xf numFmtId="0" fontId="55" fillId="0" borderId="128" xfId="0" applyFont="1" applyBorder="1" applyAlignment="1">
      <alignment horizontal="center" vertical="center" wrapText="1"/>
    </xf>
    <xf numFmtId="0" fontId="16" fillId="66" borderId="10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42" applyNumberFormat="1" applyFont="1" applyAlignment="1">
      <alignment horizontal="center"/>
    </xf>
    <xf numFmtId="0" fontId="32" fillId="54" borderId="132" xfId="0" applyFont="1" applyFill="1" applyBorder="1" applyAlignment="1">
      <alignment horizontal="center" vertical="center" wrapText="1"/>
    </xf>
    <xf numFmtId="0" fontId="32" fillId="54" borderId="134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right" vertical="center" wrapText="1"/>
    </xf>
    <xf numFmtId="3" fontId="99" fillId="0" borderId="53" xfId="0" applyNumberFormat="1" applyFont="1" applyFill="1" applyBorder="1" applyAlignment="1">
      <alignment horizontal="right" vertical="center" wrapText="1" indent="2"/>
    </xf>
    <xf numFmtId="1" fontId="99" fillId="0" borderId="53" xfId="0" applyNumberFormat="1" applyFont="1" applyFill="1" applyBorder="1" applyAlignment="1">
      <alignment horizontal="right" vertical="center" wrapText="1" indent="2"/>
    </xf>
    <xf numFmtId="0" fontId="99" fillId="0" borderId="53" xfId="0" applyFont="1" applyFill="1" applyBorder="1" applyAlignment="1">
      <alignment horizontal="center" vertical="center" wrapText="1"/>
    </xf>
    <xf numFmtId="10" fontId="99" fillId="0" borderId="53" xfId="0" applyNumberFormat="1" applyFont="1" applyFill="1" applyBorder="1" applyAlignment="1">
      <alignment horizontal="right" vertical="center" wrapText="1" indent="2"/>
    </xf>
    <xf numFmtId="0" fontId="0" fillId="66" borderId="108" xfId="0" applyFont="1" applyFill="1" applyBorder="1" applyAlignment="1">
      <alignment horizontal="right"/>
    </xf>
    <xf numFmtId="0" fontId="16" fillId="66" borderId="108" xfId="0" applyFont="1" applyFill="1" applyBorder="1" applyAlignment="1">
      <alignment horizontal="right"/>
    </xf>
    <xf numFmtId="1" fontId="16" fillId="66" borderId="108" xfId="0" applyNumberFormat="1" applyFont="1" applyFill="1" applyBorder="1" applyAlignment="1">
      <alignment horizontal="center"/>
    </xf>
    <xf numFmtId="164" fontId="16" fillId="66" borderId="108" xfId="42" applyNumberFormat="1" applyFont="1" applyFill="1" applyBorder="1" applyAlignment="1">
      <alignment horizontal="center"/>
    </xf>
    <xf numFmtId="0" fontId="34" fillId="36" borderId="53" xfId="0" applyFont="1" applyFill="1" applyBorder="1" applyAlignment="1">
      <alignment horizontal="right" vertical="center" wrapText="1"/>
    </xf>
    <xf numFmtId="3" fontId="98" fillId="36" borderId="53" xfId="0" applyNumberFormat="1" applyFont="1" applyFill="1" applyBorder="1" applyAlignment="1">
      <alignment horizontal="right" vertical="center" wrapText="1" indent="2"/>
    </xf>
    <xf numFmtId="1" fontId="98" fillId="36" borderId="53" xfId="0" applyNumberFormat="1" applyFont="1" applyFill="1" applyBorder="1" applyAlignment="1">
      <alignment horizontal="right" vertical="center" wrapText="1" indent="2"/>
    </xf>
    <xf numFmtId="0" fontId="98" fillId="36" borderId="53" xfId="0" applyFont="1" applyFill="1" applyBorder="1" applyAlignment="1">
      <alignment horizontal="center" vertical="center" wrapText="1"/>
    </xf>
    <xf numFmtId="10" fontId="98" fillId="36" borderId="53" xfId="0" applyNumberFormat="1" applyFont="1" applyFill="1" applyBorder="1" applyAlignment="1">
      <alignment horizontal="right" vertical="center" wrapText="1" indent="2"/>
    </xf>
    <xf numFmtId="3" fontId="98" fillId="49" borderId="53" xfId="0" applyNumberFormat="1" applyFont="1" applyFill="1" applyBorder="1" applyAlignment="1">
      <alignment horizontal="right" vertical="center" wrapText="1" indent="2"/>
    </xf>
    <xf numFmtId="0" fontId="98" fillId="49" borderId="53" xfId="0" applyFont="1" applyFill="1" applyBorder="1" applyAlignment="1">
      <alignment horizontal="right" vertical="center" wrapText="1" indent="2"/>
    </xf>
    <xf numFmtId="0" fontId="98" fillId="49" borderId="53" xfId="0" applyFont="1" applyFill="1" applyBorder="1" applyAlignment="1">
      <alignment horizontal="center" vertical="center" wrapText="1"/>
    </xf>
    <xf numFmtId="10" fontId="98" fillId="49" borderId="53" xfId="0" applyNumberFormat="1" applyFont="1" applyFill="1" applyBorder="1" applyAlignment="1">
      <alignment horizontal="right" vertical="center" wrapText="1" indent="2"/>
    </xf>
    <xf numFmtId="3" fontId="16" fillId="66" borderId="108" xfId="0" applyNumberFormat="1" applyFont="1" applyFill="1" applyBorder="1" applyAlignment="1">
      <alignment horizontal="right"/>
    </xf>
    <xf numFmtId="0" fontId="16" fillId="66" borderId="0" xfId="0" applyFont="1" applyFill="1" applyBorder="1" applyAlignment="1">
      <alignment horizontal="right"/>
    </xf>
    <xf numFmtId="3" fontId="16" fillId="66" borderId="0" xfId="0" applyNumberFormat="1" applyFont="1" applyFill="1" applyBorder="1" applyAlignment="1">
      <alignment horizontal="right"/>
    </xf>
    <xf numFmtId="1" fontId="16" fillId="66" borderId="0" xfId="0" applyNumberFormat="1" applyFont="1" applyFill="1" applyBorder="1" applyAlignment="1">
      <alignment horizontal="center"/>
    </xf>
    <xf numFmtId="164" fontId="16" fillId="66" borderId="0" xfId="42" applyNumberFormat="1" applyFont="1" applyFill="1" applyBorder="1" applyAlignment="1">
      <alignment horizontal="center"/>
    </xf>
    <xf numFmtId="0" fontId="0" fillId="0" borderId="108" xfId="0" applyBorder="1"/>
    <xf numFmtId="0" fontId="0" fillId="0" borderId="0" xfId="0" applyAlignment="1">
      <alignment horizontal="left" indent="1"/>
    </xf>
    <xf numFmtId="0" fontId="108" fillId="0" borderId="0" xfId="0" applyFont="1" applyFill="1" applyBorder="1" applyAlignment="1">
      <alignment horizontal="center" vertical="top" wrapText="1"/>
    </xf>
    <xf numFmtId="0" fontId="57" fillId="0" borderId="0" xfId="0" applyFont="1" applyAlignment="1">
      <alignment vertical="center" wrapText="1"/>
    </xf>
    <xf numFmtId="0" fontId="55" fillId="0" borderId="128" xfId="0" applyFont="1" applyBorder="1" applyAlignment="1">
      <alignment vertical="center" wrapText="1"/>
    </xf>
    <xf numFmtId="0" fontId="31" fillId="0" borderId="0" xfId="0" applyFont="1" applyFill="1" applyAlignment="1">
      <alignment horizontal="left" vertical="center"/>
    </xf>
    <xf numFmtId="0" fontId="126" fillId="0" borderId="0" xfId="0" applyFont="1"/>
    <xf numFmtId="0" fontId="125" fillId="0" borderId="0" xfId="86" applyAlignment="1">
      <alignment vertical="center"/>
    </xf>
    <xf numFmtId="0" fontId="127" fillId="0" borderId="0" xfId="0" applyFont="1" applyAlignment="1">
      <alignment vertical="center"/>
    </xf>
    <xf numFmtId="1" fontId="0" fillId="0" borderId="53" xfId="43" applyNumberFormat="1" applyFont="1" applyBorder="1" applyAlignment="1">
      <alignment horizontal="center"/>
    </xf>
    <xf numFmtId="0" fontId="59" fillId="0" borderId="11" xfId="0" applyFont="1" applyBorder="1" applyAlignment="1">
      <alignment horizontal="right" vertical="center"/>
    </xf>
    <xf numFmtId="3" fontId="59" fillId="0" borderId="11" xfId="0" applyNumberFormat="1" applyFont="1" applyBorder="1" applyAlignment="1">
      <alignment horizontal="right" vertical="center"/>
    </xf>
    <xf numFmtId="0" fontId="0" fillId="35" borderId="53" xfId="0" applyFill="1" applyBorder="1" applyAlignment="1">
      <alignment vertical="center" wrapText="1"/>
    </xf>
    <xf numFmtId="0" fontId="0" fillId="35" borderId="53" xfId="0" applyFill="1" applyBorder="1" applyAlignment="1">
      <alignment horizontal="left" vertical="center"/>
    </xf>
    <xf numFmtId="164" fontId="0" fillId="35" borderId="53" xfId="42" applyNumberFormat="1" applyFont="1" applyFill="1" applyBorder="1" applyAlignment="1">
      <alignment vertical="center"/>
    </xf>
    <xf numFmtId="0" fontId="0" fillId="35" borderId="53" xfId="0" applyFill="1" applyBorder="1" applyAlignment="1">
      <alignment vertical="center"/>
    </xf>
    <xf numFmtId="0" fontId="29" fillId="35" borderId="0" xfId="0" applyFont="1" applyFill="1" applyAlignment="1">
      <alignment vertical="center"/>
    </xf>
    <xf numFmtId="0" fontId="29" fillId="35" borderId="0" xfId="0" applyFont="1" applyFill="1" applyAlignment="1">
      <alignment horizontal="left" vertical="center"/>
    </xf>
    <xf numFmtId="0" fontId="19" fillId="35" borderId="51" xfId="0" applyFont="1" applyFill="1" applyBorder="1" applyAlignment="1">
      <alignment horizontal="center" vertical="top" wrapText="1"/>
    </xf>
    <xf numFmtId="0" fontId="20" fillId="35" borderId="0" xfId="0" applyFont="1" applyFill="1" applyAlignment="1">
      <alignment vertical="top" wrapText="1"/>
    </xf>
    <xf numFmtId="0" fontId="0" fillId="35" borderId="53" xfId="0" applyFill="1" applyBorder="1" applyAlignment="1">
      <alignment horizontal="center" vertical="center"/>
    </xf>
    <xf numFmtId="0" fontId="0" fillId="35" borderId="53" xfId="0" applyFill="1" applyBorder="1" applyAlignment="1">
      <alignment horizontal="center" vertical="center" wrapText="1"/>
    </xf>
    <xf numFmtId="0" fontId="19" fillId="35" borderId="0" xfId="0" applyFont="1" applyFill="1" applyAlignment="1">
      <alignment horizontal="center" vertical="top" wrapText="1"/>
    </xf>
    <xf numFmtId="168" fontId="0" fillId="35" borderId="0" xfId="43" applyNumberFormat="1" applyFont="1" applyFill="1"/>
    <xf numFmtId="43" fontId="0" fillId="35" borderId="0" xfId="0" applyNumberFormat="1" applyFill="1"/>
    <xf numFmtId="0" fontId="58" fillId="0" borderId="46" xfId="0" applyFont="1" applyBorder="1" applyAlignment="1">
      <alignment vertical="center"/>
    </xf>
    <xf numFmtId="0" fontId="59" fillId="0" borderId="11" xfId="0" applyFont="1" applyBorder="1" applyAlignment="1">
      <alignment vertical="center"/>
    </xf>
    <xf numFmtId="9" fontId="59" fillId="0" borderId="11" xfId="42" applyFont="1" applyBorder="1" applyAlignment="1">
      <alignment horizontal="center" vertical="center"/>
    </xf>
    <xf numFmtId="3" fontId="0" fillId="0" borderId="53" xfId="0" applyNumberFormat="1" applyBorder="1" applyAlignment="1">
      <alignment horizontal="right" indent="1"/>
    </xf>
    <xf numFmtId="2" fontId="0" fillId="0" borderId="53" xfId="0" applyNumberFormat="1" applyBorder="1" applyAlignment="1">
      <alignment horizontal="right" indent="1"/>
    </xf>
    <xf numFmtId="2" fontId="0" fillId="0" borderId="53" xfId="0" applyNumberFormat="1" applyBorder="1" applyAlignment="1">
      <alignment horizontal="right"/>
    </xf>
    <xf numFmtId="0" fontId="32" fillId="54" borderId="53" xfId="0" applyFont="1" applyFill="1" applyBorder="1" applyAlignment="1">
      <alignment horizontal="center" vertical="center" wrapText="1"/>
    </xf>
    <xf numFmtId="0" fontId="99" fillId="61" borderId="53" xfId="0" applyFont="1" applyFill="1" applyBorder="1" applyAlignment="1">
      <alignment horizontal="right" vertical="center" indent="1"/>
    </xf>
    <xf numFmtId="2" fontId="99" fillId="0" borderId="53" xfId="0" applyNumberFormat="1" applyFont="1" applyBorder="1" applyAlignment="1">
      <alignment horizontal="right" vertical="center"/>
    </xf>
    <xf numFmtId="0" fontId="33" fillId="54" borderId="53" xfId="0" applyFont="1" applyFill="1" applyBorder="1" applyAlignment="1">
      <alignment horizontal="center" vertical="center" wrapText="1"/>
    </xf>
    <xf numFmtId="3" fontId="99" fillId="0" borderId="53" xfId="0" applyNumberFormat="1" applyFont="1" applyBorder="1" applyAlignment="1">
      <alignment horizontal="right" vertical="center" indent="1"/>
    </xf>
    <xf numFmtId="2" fontId="99" fillId="0" borderId="53" xfId="0" applyNumberFormat="1" applyFont="1" applyBorder="1" applyAlignment="1">
      <alignment horizontal="right" vertical="center" indent="1"/>
    </xf>
    <xf numFmtId="0" fontId="99" fillId="0" borderId="53" xfId="0" applyFont="1" applyBorder="1" applyAlignment="1">
      <alignment horizontal="right" vertical="center" indent="1"/>
    </xf>
    <xf numFmtId="3" fontId="99" fillId="0" borderId="53" xfId="0" applyNumberFormat="1" applyFont="1" applyFill="1" applyBorder="1" applyAlignment="1">
      <alignment horizontal="right" vertical="center" indent="1"/>
    </xf>
    <xf numFmtId="2" fontId="99" fillId="0" borderId="53" xfId="0" applyNumberFormat="1" applyFont="1" applyFill="1" applyBorder="1" applyAlignment="1">
      <alignment horizontal="right" vertical="center" indent="1"/>
    </xf>
    <xf numFmtId="0" fontId="55" fillId="0" borderId="53" xfId="0" applyFont="1" applyFill="1" applyBorder="1" applyAlignment="1">
      <alignment vertical="center"/>
    </xf>
    <xf numFmtId="0" fontId="99" fillId="0" borderId="128" xfId="0" applyFont="1" applyBorder="1" applyAlignment="1">
      <alignment horizontal="right" vertical="center" wrapText="1" indent="1"/>
    </xf>
    <xf numFmtId="0" fontId="0" fillId="0" borderId="128" xfId="0" applyFont="1" applyBorder="1" applyAlignment="1">
      <alignment horizontal="right" vertical="center" wrapText="1" indent="1"/>
    </xf>
    <xf numFmtId="10" fontId="99" fillId="0" borderId="128" xfId="0" applyNumberFormat="1" applyFont="1" applyBorder="1" applyAlignment="1">
      <alignment horizontal="right" vertical="center" wrapText="1" indent="1"/>
    </xf>
    <xf numFmtId="0" fontId="98" fillId="65" borderId="128" xfId="0" applyFont="1" applyFill="1" applyBorder="1" applyAlignment="1">
      <alignment horizontal="right" vertical="center" wrapText="1" indent="1"/>
    </xf>
    <xf numFmtId="0" fontId="16" fillId="65" borderId="128" xfId="0" applyFont="1" applyFill="1" applyBorder="1" applyAlignment="1">
      <alignment horizontal="right" vertical="center" wrapText="1" indent="1"/>
    </xf>
    <xf numFmtId="10" fontId="98" fillId="65" borderId="128" xfId="0" applyNumberFormat="1" applyFont="1" applyFill="1" applyBorder="1" applyAlignment="1">
      <alignment horizontal="right" vertical="center" wrapText="1" indent="1"/>
    </xf>
    <xf numFmtId="0" fontId="32" fillId="54" borderId="53" xfId="0" applyFont="1" applyFill="1" applyBorder="1" applyAlignment="1">
      <alignment horizontal="center" vertical="center"/>
    </xf>
    <xf numFmtId="0" fontId="34" fillId="0" borderId="53" xfId="0" applyFont="1" applyBorder="1" applyAlignment="1">
      <alignment vertical="center"/>
    </xf>
    <xf numFmtId="3" fontId="55" fillId="65" borderId="53" xfId="0" applyNumberFormat="1" applyFont="1" applyFill="1" applyBorder="1" applyAlignment="1">
      <alignment horizontal="right" vertical="center" wrapText="1"/>
    </xf>
    <xf numFmtId="0" fontId="55" fillId="65" borderId="53" xfId="0" applyFont="1" applyFill="1" applyBorder="1" applyAlignment="1">
      <alignment horizontal="center" vertical="center" wrapText="1"/>
    </xf>
    <xf numFmtId="10" fontId="55" fillId="65" borderId="53" xfId="0" applyNumberFormat="1" applyFont="1" applyFill="1" applyBorder="1" applyAlignment="1">
      <alignment horizontal="center" vertical="center" wrapText="1"/>
    </xf>
    <xf numFmtId="3" fontId="104" fillId="65" borderId="53" xfId="0" applyNumberFormat="1" applyFont="1" applyFill="1" applyBorder="1" applyAlignment="1">
      <alignment horizontal="right" vertical="center" wrapText="1"/>
    </xf>
    <xf numFmtId="0" fontId="104" fillId="65" borderId="53" xfId="0" applyFont="1" applyFill="1" applyBorder="1" applyAlignment="1">
      <alignment horizontal="center" vertical="center" wrapText="1"/>
    </xf>
    <xf numFmtId="10" fontId="104" fillId="65" borderId="53" xfId="0" applyNumberFormat="1" applyFont="1" applyFill="1" applyBorder="1" applyAlignment="1">
      <alignment horizontal="center" vertical="center" wrapText="1"/>
    </xf>
    <xf numFmtId="1" fontId="0" fillId="0" borderId="53" xfId="42" applyNumberFormat="1" applyFont="1" applyBorder="1" applyAlignment="1">
      <alignment horizontal="center"/>
    </xf>
    <xf numFmtId="0" fontId="129" fillId="54" borderId="53" xfId="0" applyFont="1" applyFill="1" applyBorder="1" applyAlignment="1">
      <alignment horizontal="center" vertical="center" wrapText="1"/>
    </xf>
    <xf numFmtId="9" fontId="0" fillId="0" borderId="53" xfId="0" applyNumberFormat="1" applyBorder="1"/>
    <xf numFmtId="1" fontId="0" fillId="0" borderId="53" xfId="0" applyNumberFormat="1" applyBorder="1" applyAlignment="1">
      <alignment horizontal="right"/>
    </xf>
    <xf numFmtId="0" fontId="34" fillId="0" borderId="78" xfId="0" applyFont="1" applyBorder="1" applyAlignment="1">
      <alignment vertical="center"/>
    </xf>
    <xf numFmtId="1" fontId="0" fillId="0" borderId="78" xfId="0" applyNumberFormat="1" applyBorder="1" applyAlignment="1">
      <alignment horizontal="center"/>
    </xf>
    <xf numFmtId="9" fontId="0" fillId="0" borderId="78" xfId="0" applyNumberFormat="1" applyBorder="1" applyAlignment="1">
      <alignment horizontal="center"/>
    </xf>
    <xf numFmtId="0" fontId="34" fillId="0" borderId="79" xfId="0" applyFont="1" applyBorder="1" applyAlignment="1">
      <alignment vertical="center"/>
    </xf>
    <xf numFmtId="1" fontId="0" fillId="0" borderId="79" xfId="0" applyNumberFormat="1" applyBorder="1" applyAlignment="1">
      <alignment horizontal="center"/>
    </xf>
    <xf numFmtId="9" fontId="0" fillId="0" borderId="79" xfId="0" applyNumberFormat="1" applyBorder="1" applyAlignment="1">
      <alignment horizontal="center"/>
    </xf>
    <xf numFmtId="0" fontId="32" fillId="54" borderId="98" xfId="0" applyFont="1" applyFill="1" applyBorder="1" applyAlignment="1">
      <alignment horizontal="center" vertical="center"/>
    </xf>
    <xf numFmtId="0" fontId="32" fillId="54" borderId="38" xfId="0" applyFont="1" applyFill="1" applyBorder="1" applyAlignment="1">
      <alignment horizontal="center" vertical="center"/>
    </xf>
    <xf numFmtId="166" fontId="0" fillId="0" borderId="53" xfId="0" applyNumberFormat="1" applyBorder="1" applyAlignment="1">
      <alignment horizontal="right" indent="2"/>
    </xf>
    <xf numFmtId="166" fontId="0" fillId="0" borderId="78" xfId="0" applyNumberFormat="1" applyBorder="1" applyAlignment="1">
      <alignment horizontal="right" indent="2"/>
    </xf>
    <xf numFmtId="166" fontId="0" fillId="0" borderId="79" xfId="0" applyNumberFormat="1" applyBorder="1" applyAlignment="1">
      <alignment horizontal="right" indent="2"/>
    </xf>
    <xf numFmtId="166" fontId="32" fillId="54" borderId="58" xfId="0" applyNumberFormat="1" applyFont="1" applyFill="1" applyBorder="1" applyAlignment="1">
      <alignment horizontal="center" vertical="center"/>
    </xf>
    <xf numFmtId="9" fontId="131" fillId="0" borderId="53" xfId="0" applyNumberFormat="1" applyFont="1" applyBorder="1" applyAlignment="1">
      <alignment horizontal="center" vertical="center" wrapText="1"/>
    </xf>
    <xf numFmtId="166" fontId="131" fillId="0" borderId="53" xfId="0" applyNumberFormat="1" applyFont="1" applyBorder="1" applyAlignment="1">
      <alignment horizontal="right" vertical="center" wrapText="1" indent="2"/>
    </xf>
    <xf numFmtId="0" fontId="38" fillId="55" borderId="11" xfId="0" applyFont="1" applyFill="1" applyBorder="1" applyAlignment="1">
      <alignment horizontal="center" vertical="center" wrapText="1"/>
    </xf>
    <xf numFmtId="0" fontId="34" fillId="0" borderId="53" xfId="0" applyFont="1" applyBorder="1" applyAlignment="1">
      <alignment vertical="center" wrapText="1"/>
    </xf>
    <xf numFmtId="1" fontId="16" fillId="0" borderId="53" xfId="0" applyNumberFormat="1" applyFont="1" applyBorder="1" applyAlignment="1">
      <alignment horizontal="center" vertical="center"/>
    </xf>
    <xf numFmtId="1" fontId="0" fillId="0" borderId="53" xfId="0" applyNumberFormat="1" applyFont="1" applyBorder="1" applyAlignment="1">
      <alignment horizontal="center"/>
    </xf>
    <xf numFmtId="9" fontId="0" fillId="0" borderId="53" xfId="0" applyNumberFormat="1" applyFont="1" applyBorder="1" applyAlignment="1">
      <alignment horizontal="center" vertical="center" wrapText="1"/>
    </xf>
    <xf numFmtId="9" fontId="16" fillId="0" borderId="53" xfId="0" applyNumberFormat="1" applyFont="1" applyBorder="1" applyAlignment="1">
      <alignment horizontal="center" vertical="center" wrapText="1"/>
    </xf>
    <xf numFmtId="3" fontId="0" fillId="0" borderId="53" xfId="0" applyNumberFormat="1" applyFont="1" applyBorder="1" applyAlignment="1">
      <alignment horizontal="right" vertical="center" wrapText="1" indent="1"/>
    </xf>
    <xf numFmtId="3" fontId="16" fillId="0" borderId="53" xfId="0" applyNumberFormat="1" applyFont="1" applyBorder="1" applyAlignment="1">
      <alignment horizontal="right" vertical="center" wrapText="1" indent="1"/>
    </xf>
    <xf numFmtId="3" fontId="0" fillId="0" borderId="53" xfId="0" applyNumberFormat="1" applyFont="1" applyBorder="1" applyAlignment="1">
      <alignment horizontal="right" vertical="center" wrapText="1" indent="3"/>
    </xf>
    <xf numFmtId="0" fontId="0" fillId="0" borderId="53" xfId="0" applyFont="1" applyBorder="1" applyAlignment="1">
      <alignment horizontal="right" vertical="center" wrapText="1" indent="3"/>
    </xf>
    <xf numFmtId="3" fontId="16" fillId="0" borderId="53" xfId="0" applyNumberFormat="1" applyFont="1" applyBorder="1" applyAlignment="1">
      <alignment horizontal="right" vertical="center" wrapText="1" indent="3"/>
    </xf>
    <xf numFmtId="0" fontId="32" fillId="54" borderId="53" xfId="0" applyFont="1" applyFill="1" applyBorder="1" applyAlignment="1">
      <alignment horizontal="center" wrapText="1"/>
    </xf>
    <xf numFmtId="166" fontId="0" fillId="0" borderId="0" xfId="0" applyNumberFormat="1" applyAlignment="1">
      <alignment horizontal="right" vertical="center"/>
    </xf>
    <xf numFmtId="166" fontId="0" fillId="0" borderId="0" xfId="0" applyNumberFormat="1"/>
    <xf numFmtId="0" fontId="16" fillId="0" borderId="0" xfId="0" applyFont="1" applyAlignment="1">
      <alignment horizontal="center" wrapText="1"/>
    </xf>
    <xf numFmtId="0" fontId="16" fillId="0" borderId="71" xfId="0" applyFont="1" applyBorder="1" applyAlignment="1">
      <alignment horizontal="center" wrapText="1"/>
    </xf>
    <xf numFmtId="0" fontId="26" fillId="0" borderId="52" xfId="0" applyFont="1" applyFill="1" applyBorder="1" applyAlignment="1">
      <alignment horizontal="center" wrapText="1"/>
    </xf>
    <xf numFmtId="0" fontId="26" fillId="38" borderId="71" xfId="0" applyFont="1" applyFill="1" applyBorder="1" applyAlignment="1">
      <alignment horizontal="left" wrapText="1"/>
    </xf>
    <xf numFmtId="0" fontId="132" fillId="38" borderId="71" xfId="0" applyFont="1" applyFill="1" applyBorder="1" applyAlignment="1">
      <alignment horizontal="center" wrapText="1"/>
    </xf>
    <xf numFmtId="0" fontId="16" fillId="0" borderId="71" xfId="0" applyFont="1" applyBorder="1" applyAlignment="1">
      <alignment wrapText="1"/>
    </xf>
    <xf numFmtId="0" fontId="41" fillId="0" borderId="0" xfId="0" applyFont="1"/>
    <xf numFmtId="0" fontId="42" fillId="38" borderId="0" xfId="0" quotePrefix="1" applyFont="1" applyFill="1" applyBorder="1" applyAlignment="1">
      <alignment horizontal="center" wrapText="1"/>
    </xf>
    <xf numFmtId="0" fontId="41" fillId="39" borderId="48" xfId="0" applyFont="1" applyFill="1" applyBorder="1"/>
    <xf numFmtId="0" fontId="41" fillId="40" borderId="48" xfId="0" applyFont="1" applyFill="1" applyBorder="1" applyAlignment="1">
      <alignment vertical="center"/>
    </xf>
    <xf numFmtId="164" fontId="41" fillId="0" borderId="0" xfId="0" applyNumberFormat="1" applyFont="1"/>
    <xf numFmtId="3" fontId="133" fillId="0" borderId="0" xfId="0" applyNumberFormat="1" applyFont="1" applyFill="1" applyBorder="1" applyAlignment="1">
      <alignment horizontal="right"/>
    </xf>
    <xf numFmtId="0" fontId="132" fillId="38" borderId="0" xfId="0" applyFont="1" applyFill="1" applyBorder="1" applyAlignment="1">
      <alignment horizontal="center" textRotation="90" wrapText="1"/>
    </xf>
    <xf numFmtId="0" fontId="41" fillId="0" borderId="0" xfId="0" applyFont="1" applyBorder="1"/>
    <xf numFmtId="0" fontId="41" fillId="40" borderId="44" xfId="0" applyFont="1" applyFill="1" applyBorder="1" applyAlignment="1">
      <alignment vertical="center"/>
    </xf>
    <xf numFmtId="0" fontId="41" fillId="40" borderId="0" xfId="0" applyFont="1" applyFill="1" applyBorder="1" applyAlignment="1">
      <alignment vertical="center"/>
    </xf>
    <xf numFmtId="0" fontId="41" fillId="40" borderId="42" xfId="0" applyFont="1" applyFill="1" applyBorder="1" applyAlignment="1">
      <alignment vertical="center"/>
    </xf>
    <xf numFmtId="168" fontId="83" fillId="47" borderId="53" xfId="0" applyNumberFormat="1" applyFont="1" applyFill="1" applyBorder="1"/>
    <xf numFmtId="1" fontId="0" fillId="0" borderId="0" xfId="43" applyNumberFormat="1" applyFont="1" applyAlignment="1">
      <alignment horizontal="center"/>
    </xf>
    <xf numFmtId="0" fontId="0" fillId="0" borderId="0" xfId="0" applyAlignment="1">
      <alignment horizontal="center" wrapText="1"/>
    </xf>
    <xf numFmtId="166" fontId="0" fillId="0" borderId="38" xfId="0" applyNumberFormat="1" applyBorder="1" applyAlignment="1">
      <alignment horizontal="center"/>
    </xf>
    <xf numFmtId="9" fontId="0" fillId="0" borderId="98" xfId="42" applyFont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9" fontId="0" fillId="0" borderId="0" xfId="0" applyNumberFormat="1" applyFill="1" applyBorder="1" applyAlignment="1">
      <alignment horizontal="center" vertical="center"/>
    </xf>
    <xf numFmtId="166" fontId="41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0" fillId="0" borderId="98" xfId="0" applyFill="1" applyBorder="1" applyAlignment="1">
      <alignment vertical="center" wrapText="1"/>
    </xf>
    <xf numFmtId="9" fontId="0" fillId="0" borderId="38" xfId="0" applyNumberFormat="1" applyFill="1" applyBorder="1" applyAlignment="1">
      <alignment horizontal="center" vertical="center"/>
    </xf>
    <xf numFmtId="166" fontId="41" fillId="0" borderId="38" xfId="0" applyNumberFormat="1" applyFont="1" applyFill="1" applyBorder="1" applyAlignment="1">
      <alignment horizontal="center" vertical="center"/>
    </xf>
    <xf numFmtId="1" fontId="0" fillId="0" borderId="38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left" vertical="center"/>
    </xf>
    <xf numFmtId="0" fontId="41" fillId="0" borderId="38" xfId="0" applyFont="1" applyFill="1" applyBorder="1" applyAlignment="1">
      <alignment horizontal="left" vertical="center"/>
    </xf>
    <xf numFmtId="0" fontId="0" fillId="0" borderId="98" xfId="0" applyFill="1" applyBorder="1" applyAlignment="1">
      <alignment horizontal="left" vertical="center"/>
    </xf>
    <xf numFmtId="9" fontId="0" fillId="0" borderId="38" xfId="42" applyFont="1" applyFill="1" applyBorder="1" applyAlignment="1">
      <alignment horizontal="left" vertical="center"/>
    </xf>
    <xf numFmtId="165" fontId="41" fillId="0" borderId="38" xfId="42" applyNumberFormat="1" applyFont="1" applyFill="1" applyBorder="1" applyAlignment="1">
      <alignment horizontal="left" vertical="center"/>
    </xf>
    <xf numFmtId="1" fontId="0" fillId="0" borderId="38" xfId="42" applyNumberFormat="1" applyFont="1" applyFill="1" applyBorder="1" applyAlignment="1">
      <alignment horizontal="center" vertical="center"/>
    </xf>
    <xf numFmtId="0" fontId="0" fillId="0" borderId="97" xfId="0" applyFill="1" applyBorder="1" applyAlignment="1">
      <alignment horizontal="left" vertical="center"/>
    </xf>
    <xf numFmtId="9" fontId="0" fillId="0" borderId="108" xfId="42" applyFont="1" applyFill="1" applyBorder="1" applyAlignment="1">
      <alignment horizontal="left" vertical="center"/>
    </xf>
    <xf numFmtId="165" fontId="41" fillId="0" borderId="108" xfId="42" applyNumberFormat="1" applyFont="1" applyFill="1" applyBorder="1" applyAlignment="1">
      <alignment horizontal="left" vertical="center"/>
    </xf>
    <xf numFmtId="1" fontId="0" fillId="0" borderId="108" xfId="42" applyNumberFormat="1" applyFont="1" applyFill="1" applyBorder="1" applyAlignment="1">
      <alignment horizontal="center" vertical="center"/>
    </xf>
    <xf numFmtId="0" fontId="0" fillId="0" borderId="108" xfId="0" applyFill="1" applyBorder="1" applyAlignment="1">
      <alignment vertical="center" wrapText="1"/>
    </xf>
    <xf numFmtId="9" fontId="0" fillId="0" borderId="108" xfId="0" applyNumberFormat="1" applyFill="1" applyBorder="1" applyAlignment="1">
      <alignment horizontal="center" vertical="center"/>
    </xf>
    <xf numFmtId="166" fontId="41" fillId="0" borderId="108" xfId="0" applyNumberFormat="1" applyFont="1" applyFill="1" applyBorder="1" applyAlignment="1">
      <alignment horizontal="center" vertical="center"/>
    </xf>
    <xf numFmtId="1" fontId="0" fillId="0" borderId="108" xfId="0" applyNumberFormat="1" applyFill="1" applyBorder="1" applyAlignment="1">
      <alignment horizontal="center" vertical="center"/>
    </xf>
    <xf numFmtId="0" fontId="0" fillId="0" borderId="108" xfId="0" applyFill="1" applyBorder="1" applyAlignment="1">
      <alignment horizontal="left" vertical="center"/>
    </xf>
    <xf numFmtId="0" fontId="41" fillId="0" borderId="108" xfId="0" applyFont="1" applyFill="1" applyBorder="1" applyAlignment="1">
      <alignment horizontal="left" vertical="center"/>
    </xf>
    <xf numFmtId="0" fontId="0" fillId="0" borderId="97" xfId="0" applyFill="1" applyBorder="1" applyAlignment="1">
      <alignment vertical="center" wrapText="1"/>
    </xf>
    <xf numFmtId="0" fontId="83" fillId="0" borderId="98" xfId="0" applyFont="1" applyFill="1" applyBorder="1" applyAlignment="1">
      <alignment vertical="center" wrapText="1"/>
    </xf>
    <xf numFmtId="0" fontId="83" fillId="0" borderId="38" xfId="0" applyFont="1" applyFill="1" applyBorder="1" applyAlignment="1">
      <alignment horizontal="left" vertical="center"/>
    </xf>
    <xf numFmtId="0" fontId="82" fillId="0" borderId="38" xfId="0" applyFont="1" applyFill="1" applyBorder="1" applyAlignment="1">
      <alignment horizontal="left" vertical="center"/>
    </xf>
    <xf numFmtId="0" fontId="83" fillId="0" borderId="108" xfId="0" applyFont="1" applyFill="1" applyBorder="1" applyAlignment="1">
      <alignment vertical="center" wrapText="1"/>
    </xf>
    <xf numFmtId="0" fontId="83" fillId="0" borderId="108" xfId="0" applyFont="1" applyFill="1" applyBorder="1" applyAlignment="1">
      <alignment horizontal="left" vertical="center"/>
    </xf>
    <xf numFmtId="0" fontId="82" fillId="0" borderId="108" xfId="0" applyFont="1" applyFill="1" applyBorder="1" applyAlignment="1">
      <alignment horizontal="left" vertical="center"/>
    </xf>
    <xf numFmtId="1" fontId="0" fillId="0" borderId="58" xfId="0" applyNumberFormat="1" applyBorder="1" applyAlignment="1">
      <alignment horizontal="center"/>
    </xf>
    <xf numFmtId="0" fontId="37" fillId="0" borderId="53" xfId="0" applyFont="1" applyBorder="1" applyAlignment="1">
      <alignment horizontal="center" vertical="center"/>
    </xf>
    <xf numFmtId="1" fontId="37" fillId="0" borderId="53" xfId="0" applyNumberFormat="1" applyFont="1" applyBorder="1" applyAlignment="1">
      <alignment horizontal="center" vertical="center"/>
    </xf>
    <xf numFmtId="0" fontId="124" fillId="54" borderId="53" xfId="0" applyFont="1" applyFill="1" applyBorder="1" applyAlignment="1">
      <alignment horizontal="center" vertical="center" wrapText="1"/>
    </xf>
    <xf numFmtId="0" fontId="70" fillId="54" borderId="143" xfId="0" applyFont="1" applyFill="1" applyBorder="1" applyAlignment="1">
      <alignment horizontal="center" vertical="center"/>
    </xf>
    <xf numFmtId="1" fontId="16" fillId="0" borderId="53" xfId="0" applyNumberFormat="1" applyFont="1" applyBorder="1" applyAlignment="1">
      <alignment horizontal="right"/>
    </xf>
    <xf numFmtId="2" fontId="16" fillId="0" borderId="53" xfId="0" applyNumberFormat="1" applyFont="1" applyBorder="1" applyAlignment="1">
      <alignment horizontal="right"/>
    </xf>
    <xf numFmtId="0" fontId="70" fillId="54" borderId="53" xfId="0" applyFont="1" applyFill="1" applyBorder="1" applyAlignment="1">
      <alignment horizontal="center" vertical="center"/>
    </xf>
    <xf numFmtId="164" fontId="0" fillId="36" borderId="98" xfId="42" applyNumberFormat="1" applyFont="1" applyFill="1" applyBorder="1" applyAlignment="1">
      <alignment horizontal="center"/>
    </xf>
    <xf numFmtId="9" fontId="99" fillId="0" borderId="125" xfId="42" applyNumberFormat="1" applyFont="1" applyBorder="1" applyAlignment="1">
      <alignment horizontal="center" vertical="center" wrapText="1"/>
    </xf>
    <xf numFmtId="0" fontId="16" fillId="0" borderId="71" xfId="0" applyFont="1" applyFill="1" applyBorder="1" applyAlignment="1">
      <alignment horizontal="center" wrapText="1"/>
    </xf>
    <xf numFmtId="0" fontId="37" fillId="0" borderId="53" xfId="0" applyFont="1" applyBorder="1" applyAlignment="1">
      <alignment horizontal="center" vertical="center" wrapText="1"/>
    </xf>
    <xf numFmtId="9" fontId="55" fillId="0" borderId="57" xfId="42" applyFont="1" applyBorder="1" applyAlignment="1">
      <alignment horizontal="center" vertical="center"/>
    </xf>
    <xf numFmtId="3" fontId="55" fillId="0" borderId="57" xfId="0" applyNumberFormat="1" applyFont="1" applyBorder="1" applyAlignment="1">
      <alignment horizontal="center" vertical="center"/>
    </xf>
    <xf numFmtId="0" fontId="70" fillId="54" borderId="115" xfId="0" applyFont="1" applyFill="1" applyBorder="1" applyAlignment="1">
      <alignment horizontal="center" vertical="center"/>
    </xf>
    <xf numFmtId="0" fontId="69" fillId="54" borderId="78" xfId="0" applyFont="1" applyFill="1" applyBorder="1" applyAlignment="1">
      <alignment textRotation="90" wrapText="1"/>
    </xf>
    <xf numFmtId="1" fontId="135" fillId="0" borderId="53" xfId="0" applyNumberFormat="1" applyFont="1" applyBorder="1" applyAlignment="1">
      <alignment horizontal="center"/>
    </xf>
    <xf numFmtId="0" fontId="79" fillId="54" borderId="53" xfId="0" applyFont="1" applyFill="1" applyBorder="1" applyAlignment="1">
      <alignment horizontal="left"/>
    </xf>
    <xf numFmtId="0" fontId="80" fillId="54" borderId="53" xfId="0" applyFont="1" applyFill="1" applyBorder="1" applyAlignment="1">
      <alignment horizontal="center" wrapText="1"/>
    </xf>
    <xf numFmtId="0" fontId="33" fillId="54" borderId="53" xfId="0" applyFont="1" applyFill="1" applyBorder="1" applyAlignment="1">
      <alignment horizontal="center" wrapText="1"/>
    </xf>
    <xf numFmtId="0" fontId="98" fillId="0" borderId="53" xfId="0" applyFont="1" applyBorder="1" applyAlignment="1">
      <alignment horizontal="center" vertical="center" wrapText="1"/>
    </xf>
    <xf numFmtId="1" fontId="98" fillId="0" borderId="53" xfId="0" applyNumberFormat="1" applyFont="1" applyBorder="1" applyAlignment="1">
      <alignment horizontal="center" vertical="center"/>
    </xf>
    <xf numFmtId="9" fontId="82" fillId="0" borderId="53" xfId="42" applyFont="1" applyBorder="1" applyAlignment="1">
      <alignment horizontal="center" vertical="center"/>
    </xf>
    <xf numFmtId="3" fontId="98" fillId="0" borderId="53" xfId="0" applyNumberFormat="1" applyFont="1" applyBorder="1" applyAlignment="1">
      <alignment horizontal="center" vertical="center"/>
    </xf>
    <xf numFmtId="9" fontId="98" fillId="0" borderId="53" xfId="0" applyNumberFormat="1" applyFont="1" applyBorder="1" applyAlignment="1">
      <alignment horizontal="center" vertical="center"/>
    </xf>
    <xf numFmtId="1" fontId="98" fillId="0" borderId="53" xfId="0" applyNumberFormat="1" applyFont="1" applyBorder="1" applyAlignment="1">
      <alignment horizontal="center" vertical="center" wrapText="1"/>
    </xf>
    <xf numFmtId="0" fontId="70" fillId="54" borderId="57" xfId="0" applyFont="1" applyFill="1" applyBorder="1" applyAlignment="1">
      <alignment horizontal="center" vertical="center" wrapText="1"/>
    </xf>
    <xf numFmtId="0" fontId="55" fillId="0" borderId="57" xfId="0" applyFont="1" applyBorder="1" applyAlignment="1">
      <alignment vertical="center" wrapText="1"/>
    </xf>
    <xf numFmtId="0" fontId="137" fillId="54" borderId="57" xfId="0" applyFont="1" applyFill="1" applyBorder="1" applyAlignment="1">
      <alignment horizontal="center" vertical="center" wrapText="1"/>
    </xf>
    <xf numFmtId="1" fontId="99" fillId="0" borderId="57" xfId="0" applyNumberFormat="1" applyFont="1" applyBorder="1" applyAlignment="1">
      <alignment horizontal="right" vertical="center" wrapText="1" indent="1"/>
    </xf>
    <xf numFmtId="169" fontId="99" fillId="0" borderId="57" xfId="0" applyNumberFormat="1" applyFont="1" applyBorder="1" applyAlignment="1">
      <alignment horizontal="right" vertical="center" wrapText="1" indent="1"/>
    </xf>
    <xf numFmtId="165" fontId="41" fillId="0" borderId="0" xfId="0" applyNumberFormat="1" applyFont="1"/>
    <xf numFmtId="169" fontId="20" fillId="0" borderId="0" xfId="0" applyNumberFormat="1" applyFont="1" applyAlignment="1">
      <alignment vertical="top" wrapText="1"/>
    </xf>
    <xf numFmtId="170" fontId="0" fillId="0" borderId="0" xfId="0" applyNumberFormat="1"/>
    <xf numFmtId="2" fontId="0" fillId="0" borderId="0" xfId="0" applyNumberFormat="1" applyAlignment="1">
      <alignment horizontal="center"/>
    </xf>
    <xf numFmtId="0" fontId="0" fillId="41" borderId="0" xfId="0" applyFill="1"/>
    <xf numFmtId="0" fontId="0" fillId="39" borderId="0" xfId="0" quotePrefix="1" applyFill="1" applyAlignment="1">
      <alignment horizontal="right"/>
    </xf>
    <xf numFmtId="165" fontId="0" fillId="39" borderId="0" xfId="0" applyNumberFormat="1" applyFill="1"/>
    <xf numFmtId="9" fontId="0" fillId="39" borderId="0" xfId="42" applyFont="1" applyFill="1" applyAlignment="1">
      <alignment horizontal="center"/>
    </xf>
    <xf numFmtId="1" fontId="138" fillId="68" borderId="0" xfId="0" applyNumberFormat="1" applyFont="1" applyFill="1" applyBorder="1" applyAlignment="1">
      <alignment horizontal="left"/>
    </xf>
    <xf numFmtId="0" fontId="17" fillId="68" borderId="0" xfId="0" applyFont="1" applyFill="1"/>
    <xf numFmtId="1" fontId="138" fillId="68" borderId="0" xfId="0" applyNumberFormat="1" applyFont="1" applyFill="1" applyBorder="1" applyAlignment="1">
      <alignment horizontal="center"/>
    </xf>
    <xf numFmtId="0" fontId="138" fillId="68" borderId="0" xfId="0" applyFont="1" applyFill="1" applyBorder="1"/>
    <xf numFmtId="2" fontId="138" fillId="68" borderId="0" xfId="0" applyNumberFormat="1" applyFont="1" applyFill="1" applyBorder="1" applyAlignment="1">
      <alignment horizontal="center"/>
    </xf>
    <xf numFmtId="1" fontId="51" fillId="0" borderId="0" xfId="0" applyNumberFormat="1" applyFont="1" applyFill="1" applyBorder="1" applyAlignment="1">
      <alignment horizontal="center"/>
    </xf>
    <xf numFmtId="0" fontId="97" fillId="0" borderId="0" xfId="0" applyFont="1" applyBorder="1"/>
    <xf numFmtId="2" fontId="51" fillId="0" borderId="0" xfId="0" applyNumberFormat="1" applyFont="1" applyFill="1" applyBorder="1" applyAlignment="1">
      <alignment horizontal="center"/>
    </xf>
    <xf numFmtId="1" fontId="97" fillId="0" borderId="0" xfId="0" applyNumberFormat="1" applyFont="1" applyBorder="1" applyAlignment="1">
      <alignment horizontal="center"/>
    </xf>
    <xf numFmtId="0" fontId="71" fillId="0" borderId="0" xfId="0" applyFont="1" applyBorder="1" applyAlignment="1">
      <alignment horizontal="right" vertical="center" wrapText="1"/>
    </xf>
    <xf numFmtId="3" fontId="54" fillId="0" borderId="0" xfId="0" applyNumberFormat="1" applyFont="1" applyFill="1" applyBorder="1" applyAlignment="1">
      <alignment horizontal="right" vertical="center"/>
    </xf>
    <xf numFmtId="9" fontId="138" fillId="68" borderId="0" xfId="42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9" fontId="16" fillId="0" borderId="0" xfId="42" applyFont="1" applyBorder="1" applyAlignment="1">
      <alignment horizontal="center" vertical="center"/>
    </xf>
    <xf numFmtId="1" fontId="31" fillId="0" borderId="121" xfId="0" applyNumberFormat="1" applyFont="1" applyFill="1" applyBorder="1" applyAlignment="1">
      <alignment horizontal="center" vertical="center"/>
    </xf>
    <xf numFmtId="0" fontId="52" fillId="0" borderId="0" xfId="0" applyFont="1" applyBorder="1" applyAlignment="1">
      <alignment horizontal="right"/>
    </xf>
    <xf numFmtId="9" fontId="74" fillId="0" borderId="0" xfId="0" applyNumberFormat="1" applyFont="1" applyFill="1" applyBorder="1" applyAlignment="1">
      <alignment horizontal="center" vertical="center"/>
    </xf>
    <xf numFmtId="9" fontId="41" fillId="0" borderId="0" xfId="42" applyFont="1" applyBorder="1" applyAlignment="1">
      <alignment horizontal="center" vertical="center"/>
    </xf>
    <xf numFmtId="2" fontId="78" fillId="39" borderId="98" xfId="42" applyNumberFormat="1" applyFont="1" applyFill="1" applyBorder="1" applyAlignment="1">
      <alignment horizontal="center"/>
    </xf>
    <xf numFmtId="2" fontId="78" fillId="40" borderId="98" xfId="42" applyNumberFormat="1" applyFont="1" applyFill="1" applyBorder="1" applyAlignment="1">
      <alignment horizontal="center"/>
    </xf>
    <xf numFmtId="2" fontId="78" fillId="44" borderId="98" xfId="0" applyNumberFormat="1" applyFont="1" applyFill="1" applyBorder="1" applyAlignment="1">
      <alignment horizontal="center" vertical="center"/>
    </xf>
    <xf numFmtId="2" fontId="78" fillId="41" borderId="98" xfId="0" applyNumberFormat="1" applyFont="1" applyFill="1" applyBorder="1" applyAlignment="1">
      <alignment horizontal="center" vertical="center"/>
    </xf>
    <xf numFmtId="2" fontId="78" fillId="45" borderId="98" xfId="0" applyNumberFormat="1" applyFont="1" applyFill="1" applyBorder="1" applyAlignment="1">
      <alignment horizontal="center" vertical="center"/>
    </xf>
    <xf numFmtId="2" fontId="78" fillId="46" borderId="98" xfId="0" applyNumberFormat="1" applyFont="1" applyFill="1" applyBorder="1" applyAlignment="1">
      <alignment horizontal="center" vertical="center"/>
    </xf>
    <xf numFmtId="2" fontId="78" fillId="0" borderId="98" xfId="0" applyNumberFormat="1" applyFont="1" applyBorder="1" applyAlignment="1">
      <alignment horizontal="center"/>
    </xf>
    <xf numFmtId="1" fontId="138" fillId="68" borderId="0" xfId="0" applyNumberFormat="1" applyFont="1" applyFill="1" applyBorder="1" applyAlignment="1">
      <alignment horizontal="right"/>
    </xf>
    <xf numFmtId="0" fontId="138" fillId="68" borderId="0" xfId="0" applyFont="1" applyFill="1" applyBorder="1" applyAlignment="1">
      <alignment horizontal="right"/>
    </xf>
    <xf numFmtId="0" fontId="53" fillId="0" borderId="0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right" vertical="center"/>
    </xf>
    <xf numFmtId="1" fontId="41" fillId="39" borderId="44" xfId="42" applyNumberFormat="1" applyFont="1" applyFill="1" applyBorder="1" applyAlignment="1">
      <alignment horizontal="center"/>
    </xf>
    <xf numFmtId="1" fontId="41" fillId="39" borderId="0" xfId="42" applyNumberFormat="1" applyFont="1" applyFill="1" applyBorder="1" applyAlignment="1">
      <alignment horizontal="center"/>
    </xf>
    <xf numFmtId="1" fontId="41" fillId="40" borderId="42" xfId="42" applyNumberFormat="1" applyFont="1" applyFill="1" applyBorder="1" applyAlignment="1">
      <alignment horizontal="center"/>
    </xf>
    <xf numFmtId="1" fontId="41" fillId="44" borderId="44" xfId="0" applyNumberFormat="1" applyFont="1" applyFill="1" applyBorder="1" applyAlignment="1">
      <alignment horizontal="center" vertical="center"/>
    </xf>
    <xf numFmtId="1" fontId="41" fillId="44" borderId="0" xfId="0" applyNumberFormat="1" applyFont="1" applyFill="1" applyBorder="1" applyAlignment="1">
      <alignment horizontal="center" vertical="center"/>
    </xf>
    <xf numFmtId="1" fontId="41" fillId="44" borderId="42" xfId="0" applyNumberFormat="1" applyFont="1" applyFill="1" applyBorder="1" applyAlignment="1">
      <alignment horizontal="center" vertical="center"/>
    </xf>
    <xf numFmtId="1" fontId="41" fillId="45" borderId="44" xfId="0" applyNumberFormat="1" applyFont="1" applyFill="1" applyBorder="1" applyAlignment="1">
      <alignment horizontal="center" vertical="center"/>
    </xf>
    <xf numFmtId="1" fontId="41" fillId="45" borderId="0" xfId="0" applyNumberFormat="1" applyFont="1" applyFill="1" applyBorder="1" applyAlignment="1">
      <alignment horizontal="center" vertical="center"/>
    </xf>
    <xf numFmtId="1" fontId="41" fillId="45" borderId="42" xfId="0" applyNumberFormat="1" applyFont="1" applyFill="1" applyBorder="1" applyAlignment="1">
      <alignment horizontal="center" vertical="center"/>
    </xf>
    <xf numFmtId="1" fontId="41" fillId="0" borderId="44" xfId="0" applyNumberFormat="1" applyFont="1" applyFill="1" applyBorder="1" applyAlignment="1">
      <alignment horizontal="center" vertical="center"/>
    </xf>
    <xf numFmtId="1" fontId="41" fillId="0" borderId="0" xfId="0" applyNumberFormat="1" applyFont="1" applyFill="1" applyBorder="1" applyAlignment="1">
      <alignment horizontal="center" vertical="center"/>
    </xf>
    <xf numFmtId="1" fontId="41" fillId="0" borderId="42" xfId="0" applyNumberFormat="1" applyFont="1" applyFill="1" applyBorder="1" applyAlignment="1">
      <alignment horizontal="center" vertical="center"/>
    </xf>
    <xf numFmtId="0" fontId="68" fillId="54" borderId="53" xfId="0" applyFont="1" applyFill="1" applyBorder="1" applyAlignment="1">
      <alignment horizontal="center" vertical="center" wrapText="1"/>
    </xf>
    <xf numFmtId="10" fontId="55" fillId="0" borderId="53" xfId="0" applyNumberFormat="1" applyFont="1" applyBorder="1" applyAlignment="1">
      <alignment horizontal="center" vertical="center"/>
    </xf>
    <xf numFmtId="2" fontId="140" fillId="0" borderId="53" xfId="0" applyNumberFormat="1" applyFont="1" applyBorder="1" applyAlignment="1">
      <alignment horizontal="center" vertical="center"/>
    </xf>
    <xf numFmtId="1" fontId="140" fillId="0" borderId="53" xfId="0" applyNumberFormat="1" applyFont="1" applyBorder="1" applyAlignment="1">
      <alignment horizontal="center" vertical="center"/>
    </xf>
    <xf numFmtId="0" fontId="136" fillId="0" borderId="53" xfId="0" applyFont="1" applyBorder="1" applyAlignment="1">
      <alignment vertical="center"/>
    </xf>
    <xf numFmtId="2" fontId="140" fillId="62" borderId="53" xfId="0" applyNumberFormat="1" applyFont="1" applyFill="1" applyBorder="1" applyAlignment="1">
      <alignment horizontal="center" vertical="center"/>
    </xf>
    <xf numFmtId="1" fontId="140" fillId="62" borderId="53" xfId="0" applyNumberFormat="1" applyFont="1" applyFill="1" applyBorder="1" applyAlignment="1">
      <alignment horizontal="center" vertical="center"/>
    </xf>
    <xf numFmtId="164" fontId="0" fillId="36" borderId="98" xfId="42" applyNumberFormat="1" applyFont="1" applyFill="1" applyBorder="1" applyAlignment="1">
      <alignment horizontal="right"/>
    </xf>
    <xf numFmtId="164" fontId="16" fillId="36" borderId="98" xfId="42" applyNumberFormat="1" applyFont="1" applyFill="1" applyBorder="1" applyAlignment="1">
      <alignment horizontal="right"/>
    </xf>
    <xf numFmtId="0" fontId="68" fillId="54" borderId="55" xfId="0" applyFont="1" applyFill="1" applyBorder="1" applyAlignment="1">
      <alignment horizontal="center" vertical="center" wrapText="1"/>
    </xf>
    <xf numFmtId="0" fontId="68" fillId="54" borderId="55" xfId="0" applyFont="1" applyFill="1" applyBorder="1" applyAlignment="1">
      <alignment horizontal="center" vertical="center" wrapText="1" readingOrder="1"/>
    </xf>
    <xf numFmtId="0" fontId="68" fillId="54" borderId="138" xfId="0" applyFont="1" applyFill="1" applyBorder="1" applyAlignment="1">
      <alignment horizontal="center" vertical="center" wrapText="1"/>
    </xf>
    <xf numFmtId="0" fontId="37" fillId="0" borderId="57" xfId="0" applyFont="1" applyBorder="1" applyAlignment="1">
      <alignment vertical="center" wrapText="1"/>
    </xf>
    <xf numFmtId="0" fontId="141" fillId="0" borderId="57" xfId="0" applyFont="1" applyBorder="1" applyAlignment="1">
      <alignment horizontal="center" vertical="center" wrapText="1"/>
    </xf>
    <xf numFmtId="3" fontId="141" fillId="0" borderId="57" xfId="0" applyNumberFormat="1" applyFont="1" applyBorder="1" applyAlignment="1">
      <alignment horizontal="center" vertical="center" wrapText="1"/>
    </xf>
    <xf numFmtId="0" fontId="59" fillId="0" borderId="110" xfId="0" applyFont="1" applyBorder="1" applyAlignment="1">
      <alignment horizontal="center" vertical="center" wrapText="1"/>
    </xf>
    <xf numFmtId="0" fontId="59" fillId="0" borderId="57" xfId="0" applyFont="1" applyBorder="1" applyAlignment="1">
      <alignment horizontal="center" vertical="center" wrapText="1"/>
    </xf>
    <xf numFmtId="3" fontId="59" fillId="0" borderId="57" xfId="0" applyNumberFormat="1" applyFont="1" applyBorder="1" applyAlignment="1">
      <alignment horizontal="center" vertical="center" wrapText="1"/>
    </xf>
    <xf numFmtId="168" fontId="0" fillId="64" borderId="0" xfId="0" applyNumberFormat="1" applyFill="1"/>
    <xf numFmtId="0" fontId="34" fillId="0" borderId="56" xfId="0" applyFont="1" applyBorder="1" applyAlignment="1">
      <alignment vertical="center"/>
    </xf>
    <xf numFmtId="0" fontId="34" fillId="0" borderId="56" xfId="0" applyFont="1" applyBorder="1" applyAlignment="1">
      <alignment vertical="center" wrapText="1"/>
    </xf>
    <xf numFmtId="0" fontId="34" fillId="0" borderId="53" xfId="0" applyFont="1" applyBorder="1" applyAlignment="1">
      <alignment vertical="center"/>
    </xf>
    <xf numFmtId="0" fontId="34" fillId="0" borderId="53" xfId="0" applyFont="1" applyFill="1" applyBorder="1" applyAlignment="1">
      <alignment vertical="center" wrapText="1"/>
    </xf>
    <xf numFmtId="0" fontId="143" fillId="54" borderId="144" xfId="0" applyFont="1" applyFill="1" applyBorder="1" applyAlignment="1">
      <alignment horizontal="center" vertical="center" wrapText="1" readingOrder="1"/>
    </xf>
    <xf numFmtId="0" fontId="145" fillId="69" borderId="145" xfId="0" applyFont="1" applyFill="1" applyBorder="1" applyAlignment="1">
      <alignment horizontal="left" vertical="center" wrapText="1" readingOrder="1"/>
    </xf>
    <xf numFmtId="0" fontId="146" fillId="69" borderId="145" xfId="0" applyFont="1" applyFill="1" applyBorder="1" applyAlignment="1">
      <alignment horizontal="center" vertical="center" wrapText="1" readingOrder="1"/>
    </xf>
    <xf numFmtId="0" fontId="145" fillId="70" borderId="148" xfId="0" applyFont="1" applyFill="1" applyBorder="1" applyAlignment="1">
      <alignment horizontal="left" vertical="center" wrapText="1" readingOrder="1"/>
    </xf>
    <xf numFmtId="0" fontId="146" fillId="70" borderId="148" xfId="0" applyFont="1" applyFill="1" applyBorder="1" applyAlignment="1">
      <alignment horizontal="center" vertical="center" wrapText="1" readingOrder="1"/>
    </xf>
    <xf numFmtId="0" fontId="145" fillId="69" borderId="148" xfId="0" applyFont="1" applyFill="1" applyBorder="1" applyAlignment="1">
      <alignment horizontal="left" vertical="center" wrapText="1" readingOrder="1"/>
    </xf>
    <xf numFmtId="0" fontId="146" fillId="69" borderId="148" xfId="0" applyFont="1" applyFill="1" applyBorder="1" applyAlignment="1">
      <alignment horizontal="center" vertical="center" wrapText="1" readingOrder="1"/>
    </xf>
    <xf numFmtId="0" fontId="142" fillId="54" borderId="148" xfId="0" applyFont="1" applyFill="1" applyBorder="1" applyAlignment="1">
      <alignment horizontal="right" vertical="center" wrapText="1"/>
    </xf>
    <xf numFmtId="0" fontId="142" fillId="70" borderId="148" xfId="0" applyFont="1" applyFill="1" applyBorder="1" applyAlignment="1">
      <alignment horizontal="right" vertical="center" wrapText="1"/>
    </xf>
    <xf numFmtId="0" fontId="146" fillId="70" borderId="148" xfId="0" applyFont="1" applyFill="1" applyBorder="1" applyAlignment="1">
      <alignment horizontal="right" vertical="center" wrapText="1" readingOrder="1"/>
    </xf>
    <xf numFmtId="0" fontId="142" fillId="54" borderId="148" xfId="0" applyFont="1" applyFill="1" applyBorder="1" applyAlignment="1">
      <alignment vertical="center" wrapText="1"/>
    </xf>
    <xf numFmtId="0" fontId="147" fillId="70" borderId="148" xfId="0" applyFont="1" applyFill="1" applyBorder="1" applyAlignment="1">
      <alignment vertical="center" wrapText="1"/>
    </xf>
    <xf numFmtId="0" fontId="148" fillId="70" borderId="148" xfId="0" applyFont="1" applyFill="1" applyBorder="1" applyAlignment="1">
      <alignment horizontal="left" vertical="center" wrapText="1" readingOrder="1"/>
    </xf>
    <xf numFmtId="0" fontId="149" fillId="70" borderId="148" xfId="0" applyFont="1" applyFill="1" applyBorder="1" applyAlignment="1">
      <alignment horizontal="center" vertical="center" wrapText="1" readingOrder="1"/>
    </xf>
    <xf numFmtId="0" fontId="151" fillId="69" borderId="145" xfId="0" applyFont="1" applyFill="1" applyBorder="1" applyAlignment="1">
      <alignment horizontal="left" vertical="center" wrapText="1" readingOrder="1"/>
    </xf>
    <xf numFmtId="0" fontId="152" fillId="69" borderId="145" xfId="0" applyFont="1" applyFill="1" applyBorder="1" applyAlignment="1">
      <alignment horizontal="center" vertical="center" wrapText="1" readingOrder="1"/>
    </xf>
    <xf numFmtId="0" fontId="151" fillId="70" borderId="148" xfId="0" applyFont="1" applyFill="1" applyBorder="1" applyAlignment="1">
      <alignment horizontal="left" vertical="center" wrapText="1" readingOrder="1"/>
    </xf>
    <xf numFmtId="0" fontId="152" fillId="70" borderId="148" xfId="0" applyFont="1" applyFill="1" applyBorder="1" applyAlignment="1">
      <alignment horizontal="center" vertical="center" wrapText="1" readingOrder="1"/>
    </xf>
    <xf numFmtId="0" fontId="151" fillId="69" borderId="148" xfId="0" applyFont="1" applyFill="1" applyBorder="1" applyAlignment="1">
      <alignment horizontal="left" vertical="center" wrapText="1" readingOrder="1"/>
    </xf>
    <xf numFmtId="0" fontId="152" fillId="69" borderId="148" xfId="0" applyFont="1" applyFill="1" applyBorder="1" applyAlignment="1">
      <alignment horizontal="center" vertical="center" wrapText="1" readingOrder="1"/>
    </xf>
    <xf numFmtId="0" fontId="32" fillId="54" borderId="53" xfId="0" applyFont="1" applyFill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55" fillId="0" borderId="53" xfId="0" applyFont="1" applyFill="1" applyBorder="1" applyAlignment="1">
      <alignment horizontal="center" vertical="center" wrapText="1"/>
    </xf>
    <xf numFmtId="3" fontId="55" fillId="0" borderId="53" xfId="0" applyNumberFormat="1" applyFont="1" applyFill="1" applyBorder="1" applyAlignment="1">
      <alignment horizontal="right" vertical="center" wrapText="1"/>
    </xf>
    <xf numFmtId="10" fontId="55" fillId="0" borderId="53" xfId="0" applyNumberFormat="1" applyFont="1" applyFill="1" applyBorder="1" applyAlignment="1">
      <alignment horizontal="center" vertical="center" wrapText="1"/>
    </xf>
    <xf numFmtId="3" fontId="104" fillId="0" borderId="53" xfId="0" applyNumberFormat="1" applyFont="1" applyFill="1" applyBorder="1" applyAlignment="1">
      <alignment horizontal="right" vertical="center" wrapText="1"/>
    </xf>
    <xf numFmtId="0" fontId="104" fillId="0" borderId="53" xfId="0" applyFont="1" applyFill="1" applyBorder="1" applyAlignment="1">
      <alignment horizontal="center" vertical="center" wrapText="1"/>
    </xf>
    <xf numFmtId="10" fontId="104" fillId="0" borderId="53" xfId="0" applyNumberFormat="1" applyFont="1" applyFill="1" applyBorder="1" applyAlignment="1">
      <alignment horizontal="center" vertical="center" wrapText="1"/>
    </xf>
    <xf numFmtId="0" fontId="106" fillId="0" borderId="53" xfId="0" applyFont="1" applyFill="1" applyBorder="1" applyAlignment="1">
      <alignment vertical="center" wrapText="1"/>
    </xf>
    <xf numFmtId="0" fontId="0" fillId="0" borderId="53" xfId="0" applyFill="1" applyBorder="1" applyAlignment="1">
      <alignment vertical="center" wrapText="1"/>
    </xf>
    <xf numFmtId="0" fontId="55" fillId="0" borderId="53" xfId="0" applyFont="1" applyFill="1" applyBorder="1" applyAlignment="1">
      <alignment horizontal="right" vertical="center" wrapText="1"/>
    </xf>
    <xf numFmtId="3" fontId="104" fillId="36" borderId="53" xfId="0" applyNumberFormat="1" applyFont="1" applyFill="1" applyBorder="1" applyAlignment="1">
      <alignment horizontal="right" vertical="center" wrapText="1"/>
    </xf>
    <xf numFmtId="0" fontId="104" fillId="36" borderId="53" xfId="0" applyFont="1" applyFill="1" applyBorder="1" applyAlignment="1">
      <alignment horizontal="center" vertical="center" wrapText="1"/>
    </xf>
    <xf numFmtId="10" fontId="104" fillId="36" borderId="53" xfId="0" applyNumberFormat="1" applyFont="1" applyFill="1" applyBorder="1" applyAlignment="1">
      <alignment horizontal="center" vertical="center" wrapText="1"/>
    </xf>
    <xf numFmtId="164" fontId="130" fillId="0" borderId="53" xfId="42" applyNumberFormat="1" applyFont="1" applyBorder="1" applyAlignment="1">
      <alignment horizontal="center" vertical="center" wrapText="1"/>
    </xf>
    <xf numFmtId="165" fontId="130" fillId="0" borderId="53" xfId="0" applyNumberFormat="1" applyFont="1" applyBorder="1" applyAlignment="1">
      <alignment horizontal="center" vertical="center" wrapText="1"/>
    </xf>
    <xf numFmtId="164" fontId="55" fillId="0" borderId="53" xfId="0" applyNumberFormat="1" applyFont="1" applyFill="1" applyBorder="1" applyAlignment="1">
      <alignment horizontal="center" vertical="center"/>
    </xf>
    <xf numFmtId="1" fontId="153" fillId="0" borderId="53" xfId="0" applyNumberFormat="1" applyFont="1" applyFill="1" applyBorder="1" applyAlignment="1">
      <alignment horizontal="center" vertical="center" wrapText="1"/>
    </xf>
    <xf numFmtId="164" fontId="153" fillId="0" borderId="53" xfId="42" applyNumberFormat="1" applyFont="1" applyFill="1" applyBorder="1" applyAlignment="1">
      <alignment horizontal="center" vertical="center" wrapText="1"/>
    </xf>
    <xf numFmtId="1" fontId="154" fillId="0" borderId="53" xfId="0" applyNumberFormat="1" applyFont="1" applyFill="1" applyBorder="1" applyAlignment="1">
      <alignment horizontal="center" vertical="center" wrapText="1"/>
    </xf>
    <xf numFmtId="0" fontId="60" fillId="0" borderId="57" xfId="0" applyFont="1" applyBorder="1" applyAlignment="1">
      <alignment vertical="center"/>
    </xf>
    <xf numFmtId="0" fontId="60" fillId="0" borderId="57" xfId="0" applyFont="1" applyBorder="1" applyAlignment="1">
      <alignment horizontal="center" vertical="center"/>
    </xf>
    <xf numFmtId="167" fontId="60" fillId="0" borderId="57" xfId="0" applyNumberFormat="1" applyFont="1" applyBorder="1" applyAlignment="1">
      <alignment horizontal="center" vertical="center"/>
    </xf>
    <xf numFmtId="0" fontId="37" fillId="0" borderId="98" xfId="0" applyFont="1" applyBorder="1" applyAlignment="1">
      <alignment vertical="center"/>
    </xf>
    <xf numFmtId="0" fontId="37" fillId="0" borderId="38" xfId="0" applyFont="1" applyBorder="1" applyAlignment="1">
      <alignment vertical="center"/>
    </xf>
    <xf numFmtId="0" fontId="37" fillId="0" borderId="58" xfId="0" applyFont="1" applyBorder="1" applyAlignment="1">
      <alignment vertical="center"/>
    </xf>
    <xf numFmtId="0" fontId="37" fillId="67" borderId="98" xfId="0" applyFont="1" applyFill="1" applyBorder="1" applyAlignment="1">
      <alignment vertical="center" wrapText="1"/>
    </xf>
    <xf numFmtId="0" fontId="37" fillId="67" borderId="38" xfId="0" applyFont="1" applyFill="1" applyBorder="1" applyAlignment="1">
      <alignment vertical="center" wrapText="1"/>
    </xf>
    <xf numFmtId="0" fontId="37" fillId="67" borderId="58" xfId="0" applyFont="1" applyFill="1" applyBorder="1" applyAlignment="1">
      <alignment vertical="center" wrapText="1"/>
    </xf>
    <xf numFmtId="0" fontId="32" fillId="54" borderId="53" xfId="0" applyFont="1" applyFill="1" applyBorder="1" applyAlignment="1">
      <alignment horizontal="center" vertical="center" wrapText="1"/>
    </xf>
    <xf numFmtId="0" fontId="26" fillId="38" borderId="0" xfId="0" applyFont="1" applyFill="1" applyBorder="1" applyAlignment="1">
      <alignment horizontal="center" wrapText="1"/>
    </xf>
    <xf numFmtId="0" fontId="0" fillId="0" borderId="53" xfId="0" applyBorder="1"/>
    <xf numFmtId="0" fontId="0" fillId="0" borderId="0" xfId="0" applyAlignment="1">
      <alignment horizontal="center"/>
    </xf>
    <xf numFmtId="0" fontId="0" fillId="39" borderId="48" xfId="0" applyFill="1" applyBorder="1"/>
    <xf numFmtId="0" fontId="0" fillId="39" borderId="46" xfId="0" applyFill="1" applyBorder="1"/>
    <xf numFmtId="0" fontId="19" fillId="0" borderId="51" xfId="0" applyFont="1" applyBorder="1" applyAlignment="1">
      <alignment horizontal="center" vertical="top" wrapText="1"/>
    </xf>
    <xf numFmtId="0" fontId="19" fillId="0" borderId="50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0" fillId="40" borderId="12" xfId="0" applyFill="1" applyBorder="1" applyAlignment="1">
      <alignment vertical="top"/>
    </xf>
    <xf numFmtId="9" fontId="0" fillId="40" borderId="44" xfId="0" applyNumberFormat="1" applyFill="1" applyBorder="1" applyAlignment="1">
      <alignment horizontal="center" vertical="top"/>
    </xf>
    <xf numFmtId="1" fontId="0" fillId="40" borderId="44" xfId="0" applyNumberFormat="1" applyFont="1" applyFill="1" applyBorder="1" applyAlignment="1">
      <alignment horizontal="center" vertical="top"/>
    </xf>
    <xf numFmtId="0" fontId="26" fillId="38" borderId="71" xfId="0" applyFont="1" applyFill="1" applyBorder="1" applyAlignment="1">
      <alignment horizontal="center" wrapText="1"/>
    </xf>
    <xf numFmtId="0" fontId="0" fillId="39" borderId="48" xfId="0" applyFont="1" applyFill="1" applyBorder="1"/>
    <xf numFmtId="0" fontId="0" fillId="40" borderId="48" xfId="0" applyFont="1" applyFill="1" applyBorder="1" applyAlignment="1">
      <alignment vertical="center"/>
    </xf>
    <xf numFmtId="0" fontId="0" fillId="45" borderId="48" xfId="0" applyFont="1" applyFill="1" applyBorder="1" applyAlignment="1">
      <alignment horizontal="left" vertical="center"/>
    </xf>
    <xf numFmtId="0" fontId="0" fillId="42" borderId="48" xfId="0" applyFont="1" applyFill="1" applyBorder="1" applyAlignment="1">
      <alignment vertical="center"/>
    </xf>
    <xf numFmtId="1" fontId="1" fillId="45" borderId="48" xfId="42" applyNumberFormat="1" applyFont="1" applyFill="1" applyBorder="1" applyAlignment="1">
      <alignment horizontal="left" vertical="center"/>
    </xf>
    <xf numFmtId="1" fontId="0" fillId="0" borderId="53" xfId="0" applyNumberFormat="1" applyBorder="1" applyAlignment="1">
      <alignment horizontal="right" indent="1"/>
    </xf>
    <xf numFmtId="3" fontId="0" fillId="0" borderId="53" xfId="0" applyNumberFormat="1" applyFill="1" applyBorder="1" applyAlignment="1">
      <alignment horizontal="right" indent="1"/>
    </xf>
    <xf numFmtId="10" fontId="0" fillId="0" borderId="0" xfId="42" applyNumberFormat="1" applyFont="1"/>
    <xf numFmtId="165" fontId="82" fillId="40" borderId="44" xfId="0" applyNumberFormat="1" applyFont="1" applyFill="1" applyBorder="1" applyAlignment="1">
      <alignment vertical="top"/>
    </xf>
    <xf numFmtId="165" fontId="82" fillId="40" borderId="44" xfId="0" applyNumberFormat="1" applyFont="1" applyFill="1" applyBorder="1" applyAlignment="1">
      <alignment vertical="center"/>
    </xf>
    <xf numFmtId="1" fontId="0" fillId="45" borderId="44" xfId="0" applyNumberForma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1" fontId="0" fillId="45" borderId="44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0" fontId="0" fillId="0" borderId="151" xfId="0" applyBorder="1"/>
    <xf numFmtId="0" fontId="0" fillId="0" borderId="152" xfId="0" applyBorder="1"/>
    <xf numFmtId="164" fontId="0" fillId="0" borderId="153" xfId="0" applyNumberFormat="1" applyBorder="1"/>
    <xf numFmtId="0" fontId="0" fillId="0" borderId="154" xfId="0" applyBorder="1"/>
    <xf numFmtId="164" fontId="0" fillId="0" borderId="155" xfId="0" applyNumberFormat="1" applyBorder="1"/>
    <xf numFmtId="0" fontId="0" fillId="0" borderId="156" xfId="0" applyBorder="1"/>
    <xf numFmtId="0" fontId="16" fillId="0" borderId="151" xfId="0" applyFont="1" applyBorder="1"/>
    <xf numFmtId="0" fontId="16" fillId="0" borderId="150" xfId="0" applyFont="1" applyBorder="1"/>
    <xf numFmtId="164" fontId="0" fillId="0" borderId="153" xfId="42" applyNumberFormat="1" applyFont="1" applyBorder="1"/>
    <xf numFmtId="0" fontId="0" fillId="0" borderId="153" xfId="0" applyBorder="1"/>
    <xf numFmtId="164" fontId="0" fillId="0" borderId="155" xfId="42" applyNumberFormat="1" applyFont="1" applyBorder="1"/>
    <xf numFmtId="0" fontId="155" fillId="0" borderId="71" xfId="0" applyFont="1" applyBorder="1" applyAlignment="1">
      <alignment horizontal="center" wrapText="1"/>
    </xf>
    <xf numFmtId="9" fontId="155" fillId="40" borderId="44" xfId="0" applyNumberFormat="1" applyFont="1" applyFill="1" applyBorder="1" applyAlignment="1">
      <alignment horizontal="center" vertical="center"/>
    </xf>
    <xf numFmtId="165" fontId="156" fillId="40" borderId="44" xfId="0" applyNumberFormat="1" applyFont="1" applyFill="1" applyBorder="1" applyAlignment="1">
      <alignment vertical="center"/>
    </xf>
    <xf numFmtId="9" fontId="155" fillId="40" borderId="44" xfId="0" applyNumberFormat="1" applyFont="1" applyFill="1" applyBorder="1" applyAlignment="1">
      <alignment horizontal="center" vertical="top"/>
    </xf>
    <xf numFmtId="165" fontId="156" fillId="40" borderId="44" xfId="0" applyNumberFormat="1" applyFont="1" applyFill="1" applyBorder="1" applyAlignment="1">
      <alignment vertical="top"/>
    </xf>
    <xf numFmtId="164" fontId="0" fillId="0" borderId="156" xfId="0" applyNumberFormat="1" applyBorder="1"/>
    <xf numFmtId="0" fontId="158" fillId="0" borderId="52" xfId="0" applyFont="1" applyFill="1" applyBorder="1" applyAlignment="1">
      <alignment horizontal="center" wrapText="1"/>
    </xf>
    <xf numFmtId="0" fontId="155" fillId="0" borderId="0" xfId="0" applyFont="1" applyAlignment="1">
      <alignment horizontal="center" wrapText="1"/>
    </xf>
    <xf numFmtId="165" fontId="156" fillId="45" borderId="44" xfId="43" applyNumberFormat="1" applyFont="1" applyFill="1" applyBorder="1" applyAlignment="1">
      <alignment vertical="center"/>
    </xf>
    <xf numFmtId="165" fontId="41" fillId="45" borderId="44" xfId="43" applyNumberFormat="1" applyFont="1" applyFill="1" applyBorder="1" applyAlignment="1">
      <alignment vertical="center"/>
    </xf>
    <xf numFmtId="166" fontId="41" fillId="42" borderId="44" xfId="42" applyNumberFormat="1" applyFont="1" applyFill="1" applyBorder="1" applyAlignment="1">
      <alignment vertical="center"/>
    </xf>
    <xf numFmtId="9" fontId="83" fillId="42" borderId="44" xfId="42" applyFont="1" applyFill="1" applyBorder="1" applyAlignment="1">
      <alignment vertical="center"/>
    </xf>
    <xf numFmtId="9" fontId="0" fillId="45" borderId="44" xfId="42" applyFont="1" applyFill="1" applyBorder="1" applyAlignment="1">
      <alignment vertical="center"/>
    </xf>
    <xf numFmtId="9" fontId="155" fillId="45" borderId="44" xfId="42" applyFont="1" applyFill="1" applyBorder="1" applyAlignment="1">
      <alignment vertical="center"/>
    </xf>
    <xf numFmtId="1" fontId="1" fillId="45" borderId="44" xfId="43" applyNumberFormat="1" applyFont="1" applyFill="1" applyBorder="1" applyAlignment="1">
      <alignment vertical="center"/>
    </xf>
    <xf numFmtId="1" fontId="1" fillId="45" borderId="0" xfId="43" applyNumberFormat="1" applyFont="1" applyFill="1" applyBorder="1" applyAlignment="1">
      <alignment vertical="center"/>
    </xf>
    <xf numFmtId="1" fontId="1" fillId="45" borderId="42" xfId="43" applyNumberFormat="1" applyFont="1" applyFill="1" applyBorder="1" applyAlignment="1">
      <alignment vertical="center"/>
    </xf>
    <xf numFmtId="9" fontId="0" fillId="45" borderId="44" xfId="0" applyNumberFormat="1" applyFill="1" applyBorder="1" applyAlignment="1">
      <alignment vertical="center"/>
    </xf>
    <xf numFmtId="1" fontId="0" fillId="45" borderId="44" xfId="0" applyNumberFormat="1" applyFont="1" applyFill="1" applyBorder="1" applyAlignment="1">
      <alignment vertical="center"/>
    </xf>
    <xf numFmtId="1" fontId="0" fillId="45" borderId="0" xfId="0" applyNumberFormat="1" applyFont="1" applyFill="1" applyBorder="1" applyAlignment="1">
      <alignment vertical="center"/>
    </xf>
    <xf numFmtId="1" fontId="0" fillId="45" borderId="42" xfId="0" applyNumberFormat="1" applyFont="1" applyFill="1" applyBorder="1" applyAlignment="1">
      <alignment vertical="center"/>
    </xf>
    <xf numFmtId="9" fontId="83" fillId="45" borderId="44" xfId="0" applyNumberFormat="1" applyFont="1" applyFill="1" applyBorder="1" applyAlignment="1">
      <alignment vertical="center"/>
    </xf>
    <xf numFmtId="1" fontId="83" fillId="45" borderId="44" xfId="0" applyNumberFormat="1" applyFont="1" applyFill="1" applyBorder="1" applyAlignment="1">
      <alignment vertical="center"/>
    </xf>
    <xf numFmtId="1" fontId="83" fillId="45" borderId="0" xfId="0" applyNumberFormat="1" applyFont="1" applyFill="1" applyBorder="1" applyAlignment="1">
      <alignment vertical="center"/>
    </xf>
    <xf numFmtId="1" fontId="83" fillId="45" borderId="42" xfId="0" applyNumberFormat="1" applyFont="1" applyFill="1" applyBorder="1" applyAlignment="1">
      <alignment vertical="center"/>
    </xf>
    <xf numFmtId="0" fontId="0" fillId="45" borderId="12" xfId="0" applyFill="1" applyBorder="1" applyAlignment="1">
      <alignment vertical="center"/>
    </xf>
    <xf numFmtId="0" fontId="0" fillId="45" borderId="39" xfId="0" applyFill="1" applyBorder="1" applyAlignment="1">
      <alignment vertical="center"/>
    </xf>
    <xf numFmtId="0" fontId="0" fillId="45" borderId="41" xfId="0" applyFill="1" applyBorder="1" applyAlignment="1">
      <alignment vertical="center"/>
    </xf>
    <xf numFmtId="0" fontId="83" fillId="45" borderId="12" xfId="0" applyFont="1" applyFill="1" applyBorder="1" applyAlignment="1">
      <alignment vertical="center"/>
    </xf>
    <xf numFmtId="0" fontId="83" fillId="45" borderId="39" xfId="0" applyFont="1" applyFill="1" applyBorder="1" applyAlignment="1">
      <alignment vertical="center"/>
    </xf>
    <xf numFmtId="0" fontId="83" fillId="45" borderId="41" xfId="0" applyFont="1" applyFill="1" applyBorder="1" applyAlignment="1">
      <alignment vertical="center"/>
    </xf>
    <xf numFmtId="0" fontId="0" fillId="42" borderId="12" xfId="0" applyFill="1" applyBorder="1" applyAlignment="1">
      <alignment vertical="center"/>
    </xf>
    <xf numFmtId="1" fontId="1" fillId="42" borderId="44" xfId="42" applyNumberFormat="1" applyFont="1" applyFill="1" applyBorder="1" applyAlignment="1">
      <alignment vertical="center"/>
    </xf>
    <xf numFmtId="0" fontId="0" fillId="42" borderId="39" xfId="0" applyFill="1" applyBorder="1" applyAlignment="1">
      <alignment vertical="center"/>
    </xf>
    <xf numFmtId="0" fontId="0" fillId="42" borderId="41" xfId="0" applyFill="1" applyBorder="1" applyAlignment="1">
      <alignment vertical="center"/>
    </xf>
    <xf numFmtId="9" fontId="160" fillId="39" borderId="42" xfId="0" applyNumberFormat="1" applyFont="1" applyFill="1" applyBorder="1" applyAlignment="1">
      <alignment horizontal="center"/>
    </xf>
    <xf numFmtId="165" fontId="161" fillId="39" borderId="42" xfId="0" applyNumberFormat="1" applyFont="1" applyFill="1" applyBorder="1" applyAlignment="1">
      <alignment horizontal="center"/>
    </xf>
    <xf numFmtId="1" fontId="160" fillId="39" borderId="11" xfId="0" applyNumberFormat="1" applyFont="1" applyFill="1" applyBorder="1" applyAlignment="1">
      <alignment horizontal="center"/>
    </xf>
    <xf numFmtId="9" fontId="160" fillId="39" borderId="0" xfId="0" applyNumberFormat="1" applyFont="1" applyFill="1" applyBorder="1" applyAlignment="1">
      <alignment horizontal="center"/>
    </xf>
    <xf numFmtId="165" fontId="161" fillId="39" borderId="0" xfId="0" applyNumberFormat="1" applyFont="1" applyFill="1" applyBorder="1" applyAlignment="1">
      <alignment horizontal="center"/>
    </xf>
    <xf numFmtId="1" fontId="160" fillId="39" borderId="40" xfId="0" applyNumberFormat="1" applyFont="1" applyFill="1" applyBorder="1" applyAlignment="1">
      <alignment horizontal="center"/>
    </xf>
    <xf numFmtId="9" fontId="160" fillId="40" borderId="0" xfId="0" applyNumberFormat="1" applyFont="1" applyFill="1" applyBorder="1" applyAlignment="1">
      <alignment horizontal="center" vertical="center"/>
    </xf>
    <xf numFmtId="9" fontId="162" fillId="40" borderId="0" xfId="0" applyNumberFormat="1" applyFont="1" applyFill="1" applyBorder="1" applyAlignment="1">
      <alignment horizontal="center" vertical="center"/>
    </xf>
    <xf numFmtId="165" fontId="161" fillId="40" borderId="0" xfId="0" applyNumberFormat="1" applyFont="1" applyFill="1" applyBorder="1" applyAlignment="1">
      <alignment vertical="center"/>
    </xf>
    <xf numFmtId="165" fontId="163" fillId="40" borderId="0" xfId="0" applyNumberFormat="1" applyFont="1" applyFill="1" applyBorder="1" applyAlignment="1">
      <alignment vertical="center"/>
    </xf>
    <xf numFmtId="1" fontId="160" fillId="40" borderId="0" xfId="0" applyNumberFormat="1" applyFont="1" applyFill="1" applyBorder="1" applyAlignment="1">
      <alignment horizontal="center" vertical="center"/>
    </xf>
    <xf numFmtId="9" fontId="160" fillId="40" borderId="42" xfId="0" applyNumberFormat="1" applyFont="1" applyFill="1" applyBorder="1" applyAlignment="1">
      <alignment horizontal="center" vertical="center"/>
    </xf>
    <xf numFmtId="9" fontId="162" fillId="40" borderId="42" xfId="0" applyNumberFormat="1" applyFont="1" applyFill="1" applyBorder="1" applyAlignment="1">
      <alignment horizontal="center" vertical="center"/>
    </xf>
    <xf numFmtId="165" fontId="161" fillId="40" borderId="42" xfId="0" applyNumberFormat="1" applyFont="1" applyFill="1" applyBorder="1" applyAlignment="1">
      <alignment vertical="center"/>
    </xf>
    <xf numFmtId="165" fontId="163" fillId="40" borderId="42" xfId="0" applyNumberFormat="1" applyFont="1" applyFill="1" applyBorder="1" applyAlignment="1">
      <alignment vertical="center"/>
    </xf>
    <xf numFmtId="1" fontId="160" fillId="40" borderId="42" xfId="0" applyNumberFormat="1" applyFont="1" applyFill="1" applyBorder="1" applyAlignment="1">
      <alignment horizontal="center" vertical="center"/>
    </xf>
    <xf numFmtId="0" fontId="0" fillId="40" borderId="45" xfId="0" applyFill="1" applyBorder="1" applyAlignment="1">
      <alignment vertical="top"/>
    </xf>
    <xf numFmtId="0" fontId="0" fillId="40" borderId="40" xfId="0" applyFill="1" applyBorder="1" applyAlignment="1">
      <alignment vertical="top"/>
    </xf>
    <xf numFmtId="0" fontId="0" fillId="40" borderId="11" xfId="0" applyFill="1" applyBorder="1" applyAlignment="1">
      <alignment vertical="top"/>
    </xf>
    <xf numFmtId="9" fontId="160" fillId="42" borderId="0" xfId="42" applyFont="1" applyFill="1" applyBorder="1" applyAlignment="1">
      <alignment vertical="center"/>
    </xf>
    <xf numFmtId="166" fontId="161" fillId="42" borderId="0" xfId="42" applyNumberFormat="1" applyFont="1" applyFill="1" applyBorder="1" applyAlignment="1">
      <alignment vertical="center"/>
    </xf>
    <xf numFmtId="1" fontId="160" fillId="42" borderId="0" xfId="42" applyNumberFormat="1" applyFont="1" applyFill="1" applyBorder="1" applyAlignment="1">
      <alignment vertical="center"/>
    </xf>
    <xf numFmtId="9" fontId="160" fillId="42" borderId="42" xfId="42" applyFont="1" applyFill="1" applyBorder="1" applyAlignment="1">
      <alignment vertical="center"/>
    </xf>
    <xf numFmtId="166" fontId="161" fillId="42" borderId="42" xfId="42" applyNumberFormat="1" applyFont="1" applyFill="1" applyBorder="1" applyAlignment="1">
      <alignment vertical="center"/>
    </xf>
    <xf numFmtId="1" fontId="160" fillId="42" borderId="42" xfId="42" applyNumberFormat="1" applyFont="1" applyFill="1" applyBorder="1" applyAlignment="1">
      <alignment vertical="center"/>
    </xf>
    <xf numFmtId="9" fontId="78" fillId="45" borderId="0" xfId="42" applyFont="1" applyFill="1" applyBorder="1" applyAlignment="1">
      <alignment vertical="center"/>
    </xf>
    <xf numFmtId="9" fontId="92" fillId="45" borderId="0" xfId="42" applyFont="1" applyFill="1" applyBorder="1" applyAlignment="1">
      <alignment vertical="center"/>
    </xf>
    <xf numFmtId="165" fontId="86" fillId="45" borderId="0" xfId="43" applyNumberFormat="1" applyFont="1" applyFill="1" applyBorder="1" applyAlignment="1">
      <alignment vertical="center"/>
    </xf>
    <xf numFmtId="165" fontId="164" fillId="45" borderId="0" xfId="43" applyNumberFormat="1" applyFont="1" applyFill="1" applyBorder="1" applyAlignment="1">
      <alignment vertical="center"/>
    </xf>
    <xf numFmtId="9" fontId="78" fillId="45" borderId="42" xfId="42" applyFont="1" applyFill="1" applyBorder="1" applyAlignment="1">
      <alignment vertical="center"/>
    </xf>
    <xf numFmtId="9" fontId="92" fillId="45" borderId="42" xfId="42" applyFont="1" applyFill="1" applyBorder="1" applyAlignment="1">
      <alignment vertical="center"/>
    </xf>
    <xf numFmtId="165" fontId="86" fillId="45" borderId="42" xfId="43" applyNumberFormat="1" applyFont="1" applyFill="1" applyBorder="1" applyAlignment="1">
      <alignment vertical="center"/>
    </xf>
    <xf numFmtId="165" fontId="164" fillId="45" borderId="42" xfId="43" applyNumberFormat="1" applyFont="1" applyFill="1" applyBorder="1" applyAlignment="1">
      <alignment vertical="center"/>
    </xf>
    <xf numFmtId="165" fontId="41" fillId="45" borderId="44" xfId="0" applyNumberFormat="1" applyFont="1" applyFill="1" applyBorder="1" applyAlignment="1">
      <alignment vertical="center"/>
    </xf>
    <xf numFmtId="9" fontId="78" fillId="45" borderId="42" xfId="0" applyNumberFormat="1" applyFont="1" applyFill="1" applyBorder="1" applyAlignment="1">
      <alignment vertical="center"/>
    </xf>
    <xf numFmtId="165" fontId="86" fillId="45" borderId="42" xfId="0" applyNumberFormat="1" applyFont="1" applyFill="1" applyBorder="1" applyAlignment="1">
      <alignment vertical="center"/>
    </xf>
    <xf numFmtId="1" fontId="78" fillId="45" borderId="42" xfId="0" applyNumberFormat="1" applyFont="1" applyFill="1" applyBorder="1" applyAlignment="1">
      <alignment horizontal="center" vertical="center"/>
    </xf>
    <xf numFmtId="9" fontId="157" fillId="39" borderId="48" xfId="42" applyFont="1" applyFill="1" applyBorder="1"/>
    <xf numFmtId="9" fontId="157" fillId="40" borderId="48" xfId="42" applyFont="1" applyFill="1" applyBorder="1" applyAlignment="1">
      <alignment vertical="center"/>
    </xf>
    <xf numFmtId="9" fontId="157" fillId="42" borderId="48" xfId="42" applyFont="1" applyFill="1" applyBorder="1" applyAlignment="1">
      <alignment vertical="center"/>
    </xf>
    <xf numFmtId="9" fontId="157" fillId="42" borderId="48" xfId="42" applyFont="1" applyFill="1" applyBorder="1" applyAlignment="1">
      <alignment horizontal="center" vertical="center"/>
    </xf>
    <xf numFmtId="165" fontId="41" fillId="39" borderId="48" xfId="0" applyNumberFormat="1" applyFont="1" applyFill="1" applyBorder="1" applyAlignment="1">
      <alignment horizontal="center"/>
    </xf>
    <xf numFmtId="165" fontId="41" fillId="40" borderId="48" xfId="0" applyNumberFormat="1" applyFont="1" applyFill="1" applyBorder="1" applyAlignment="1">
      <alignment horizontal="center" vertical="center"/>
    </xf>
    <xf numFmtId="165" fontId="41" fillId="45" borderId="48" xfId="0" applyNumberFormat="1" applyFont="1" applyFill="1" applyBorder="1" applyAlignment="1">
      <alignment horizontal="center" vertical="center"/>
    </xf>
    <xf numFmtId="165" fontId="41" fillId="45" borderId="48" xfId="42" applyNumberFormat="1" applyFont="1" applyFill="1" applyBorder="1" applyAlignment="1">
      <alignment horizontal="center" vertical="center"/>
    </xf>
    <xf numFmtId="165" fontId="82" fillId="45" borderId="48" xfId="0" applyNumberFormat="1" applyFont="1" applyFill="1" applyBorder="1" applyAlignment="1">
      <alignment horizontal="center" vertical="center"/>
    </xf>
    <xf numFmtId="165" fontId="41" fillId="42" borderId="48" xfId="0" applyNumberFormat="1" applyFont="1" applyFill="1" applyBorder="1" applyAlignment="1">
      <alignment horizontal="center" vertical="center"/>
    </xf>
    <xf numFmtId="9" fontId="157" fillId="39" borderId="48" xfId="42" applyFont="1" applyFill="1" applyBorder="1" applyAlignment="1">
      <alignment horizontal="center"/>
    </xf>
    <xf numFmtId="9" fontId="157" fillId="40" borderId="48" xfId="42" applyFont="1" applyFill="1" applyBorder="1" applyAlignment="1">
      <alignment horizontal="center" vertical="center"/>
    </xf>
    <xf numFmtId="9" fontId="157" fillId="45" borderId="48" xfId="42" applyFont="1" applyFill="1" applyBorder="1" applyAlignment="1">
      <alignment horizontal="center" vertical="center"/>
    </xf>
    <xf numFmtId="9" fontId="157" fillId="40" borderId="44" xfId="42" applyFont="1" applyFill="1" applyBorder="1" applyAlignment="1">
      <alignment horizontal="center" vertical="center"/>
    </xf>
    <xf numFmtId="9" fontId="157" fillId="40" borderId="0" xfId="42" applyFont="1" applyFill="1" applyBorder="1" applyAlignment="1">
      <alignment horizontal="center" vertical="center"/>
    </xf>
    <xf numFmtId="9" fontId="157" fillId="40" borderId="42" xfId="42" applyFont="1" applyFill="1" applyBorder="1" applyAlignment="1">
      <alignment horizontal="center" vertical="center"/>
    </xf>
    <xf numFmtId="9" fontId="92" fillId="39" borderId="0" xfId="0" applyNumberFormat="1" applyFont="1" applyFill="1" applyBorder="1" applyAlignment="1">
      <alignment horizontal="center"/>
    </xf>
    <xf numFmtId="2" fontId="86" fillId="39" borderId="40" xfId="0" applyNumberFormat="1" applyFont="1" applyFill="1" applyBorder="1" applyAlignment="1">
      <alignment horizontal="center"/>
    </xf>
    <xf numFmtId="9" fontId="92" fillId="39" borderId="42" xfId="0" applyNumberFormat="1" applyFont="1" applyFill="1" applyBorder="1" applyAlignment="1">
      <alignment horizontal="center"/>
    </xf>
    <xf numFmtId="2" fontId="86" fillId="39" borderId="11" xfId="0" applyNumberFormat="1" applyFont="1" applyFill="1" applyBorder="1" applyAlignment="1">
      <alignment horizontal="center"/>
    </xf>
    <xf numFmtId="9" fontId="92" fillId="40" borderId="0" xfId="0" applyNumberFormat="1" applyFont="1" applyFill="1" applyBorder="1" applyAlignment="1">
      <alignment horizontal="center"/>
    </xf>
    <xf numFmtId="2" fontId="86" fillId="40" borderId="0" xfId="0" applyNumberFormat="1" applyFont="1" applyFill="1" applyBorder="1"/>
    <xf numFmtId="9" fontId="92" fillId="40" borderId="42" xfId="0" applyNumberFormat="1" applyFont="1" applyFill="1" applyBorder="1" applyAlignment="1">
      <alignment horizontal="center"/>
    </xf>
    <xf numFmtId="2" fontId="86" fillId="40" borderId="42" xfId="0" applyNumberFormat="1" applyFont="1" applyFill="1" applyBorder="1"/>
    <xf numFmtId="9" fontId="0" fillId="40" borderId="48" xfId="42" applyFont="1" applyFill="1" applyBorder="1" applyAlignment="1">
      <alignment horizontal="center"/>
    </xf>
    <xf numFmtId="9" fontId="157" fillId="40" borderId="48" xfId="42" applyFont="1" applyFill="1" applyBorder="1" applyAlignment="1">
      <alignment horizontal="center"/>
    </xf>
    <xf numFmtId="9" fontId="157" fillId="40" borderId="44" xfId="42" applyFont="1" applyFill="1" applyBorder="1" applyAlignment="1">
      <alignment horizontal="center"/>
    </xf>
    <xf numFmtId="9" fontId="157" fillId="40" borderId="0" xfId="42" applyFont="1" applyFill="1" applyBorder="1" applyAlignment="1">
      <alignment horizontal="center"/>
    </xf>
    <xf numFmtId="9" fontId="78" fillId="42" borderId="0" xfId="0" applyNumberFormat="1" applyFont="1" applyFill="1" applyBorder="1" applyAlignment="1">
      <alignment horizontal="center"/>
    </xf>
    <xf numFmtId="166" fontId="86" fillId="42" borderId="0" xfId="0" applyNumberFormat="1" applyFont="1" applyFill="1" applyBorder="1" applyAlignment="1">
      <alignment horizontal="right"/>
    </xf>
    <xf numFmtId="9" fontId="0" fillId="0" borderId="48" xfId="42" applyFont="1" applyBorder="1" applyAlignment="1">
      <alignment horizontal="center"/>
    </xf>
    <xf numFmtId="0" fontId="159" fillId="38" borderId="71" xfId="0" applyFont="1" applyFill="1" applyBorder="1" applyAlignment="1">
      <alignment horizontal="center" textRotation="90" wrapText="1"/>
    </xf>
    <xf numFmtId="2" fontId="41" fillId="39" borderId="43" xfId="42" applyNumberFormat="1" applyFont="1" applyFill="1" applyBorder="1" applyAlignment="1">
      <alignment horizontal="right"/>
    </xf>
    <xf numFmtId="2" fontId="41" fillId="40" borderId="43" xfId="42" applyNumberFormat="1" applyFont="1" applyFill="1" applyBorder="1" applyAlignment="1">
      <alignment horizontal="right"/>
    </xf>
    <xf numFmtId="2" fontId="41" fillId="44" borderId="70" xfId="0" applyNumberFormat="1" applyFont="1" applyFill="1" applyBorder="1" applyAlignment="1">
      <alignment horizontal="right" vertical="center"/>
    </xf>
    <xf numFmtId="2" fontId="41" fillId="44" borderId="68" xfId="0" applyNumberFormat="1" applyFont="1" applyFill="1" applyBorder="1" applyAlignment="1">
      <alignment horizontal="right" vertical="center"/>
    </xf>
    <xf numFmtId="2" fontId="41" fillId="44" borderId="69" xfId="0" applyNumberFormat="1" applyFont="1" applyFill="1" applyBorder="1" applyAlignment="1">
      <alignment horizontal="right" vertical="center"/>
    </xf>
    <xf numFmtId="2" fontId="41" fillId="45" borderId="70" xfId="0" applyNumberFormat="1" applyFont="1" applyFill="1" applyBorder="1" applyAlignment="1">
      <alignment horizontal="right" vertical="center"/>
    </xf>
    <xf numFmtId="2" fontId="41" fillId="45" borderId="68" xfId="0" applyNumberFormat="1" applyFont="1" applyFill="1" applyBorder="1" applyAlignment="1">
      <alignment horizontal="right" vertical="center"/>
    </xf>
    <xf numFmtId="2" fontId="41" fillId="45" borderId="69" xfId="0" applyNumberFormat="1" applyFont="1" applyFill="1" applyBorder="1" applyAlignment="1">
      <alignment horizontal="right" vertical="center"/>
    </xf>
    <xf numFmtId="2" fontId="41" fillId="0" borderId="43" xfId="0" applyNumberFormat="1" applyFont="1" applyFill="1" applyBorder="1" applyAlignment="1">
      <alignment horizontal="right" vertical="center"/>
    </xf>
    <xf numFmtId="0" fontId="42" fillId="38" borderId="52" xfId="0" applyFont="1" applyFill="1" applyBorder="1" applyAlignment="1">
      <alignment horizontal="center" wrapText="1"/>
    </xf>
    <xf numFmtId="0" fontId="159" fillId="38" borderId="79" xfId="0" applyFont="1" applyFill="1" applyBorder="1" applyAlignment="1">
      <alignment horizontal="center" wrapText="1"/>
    </xf>
    <xf numFmtId="0" fontId="35" fillId="38" borderId="79" xfId="0" applyFont="1" applyFill="1" applyBorder="1" applyAlignment="1">
      <alignment horizontal="center" wrapText="1"/>
    </xf>
    <xf numFmtId="0" fontId="166" fillId="38" borderId="79" xfId="0" applyFont="1" applyFill="1" applyBorder="1" applyAlignment="1">
      <alignment horizontal="center" wrapText="1"/>
    </xf>
    <xf numFmtId="0" fontId="35" fillId="38" borderId="53" xfId="0" quotePrefix="1" applyFont="1" applyFill="1" applyBorder="1" applyAlignment="1">
      <alignment horizontal="center" wrapText="1"/>
    </xf>
    <xf numFmtId="167" fontId="157" fillId="39" borderId="53" xfId="42" applyNumberFormat="1" applyFont="1" applyFill="1" applyBorder="1" applyAlignment="1">
      <alignment horizontal="center"/>
    </xf>
    <xf numFmtId="167" fontId="157" fillId="40" borderId="53" xfId="42" applyNumberFormat="1" applyFont="1" applyFill="1" applyBorder="1" applyAlignment="1">
      <alignment horizontal="center"/>
    </xf>
    <xf numFmtId="167" fontId="157" fillId="45" borderId="53" xfId="42" applyNumberFormat="1" applyFont="1" applyFill="1" applyBorder="1" applyAlignment="1">
      <alignment horizontal="center" vertical="center"/>
    </xf>
    <xf numFmtId="167" fontId="157" fillId="42" borderId="53" xfId="42" applyNumberFormat="1" applyFont="1" applyFill="1" applyBorder="1" applyAlignment="1">
      <alignment horizontal="center" vertical="center"/>
    </xf>
    <xf numFmtId="167" fontId="83" fillId="39" borderId="53" xfId="42" applyNumberFormat="1" applyFont="1" applyFill="1" applyBorder="1" applyAlignment="1">
      <alignment horizontal="center"/>
    </xf>
    <xf numFmtId="167" fontId="83" fillId="40" borderId="53" xfId="42" applyNumberFormat="1" applyFont="1" applyFill="1" applyBorder="1" applyAlignment="1">
      <alignment horizontal="center"/>
    </xf>
    <xf numFmtId="167" fontId="83" fillId="45" borderId="53" xfId="42" applyNumberFormat="1" applyFont="1" applyFill="1" applyBorder="1" applyAlignment="1">
      <alignment horizontal="center" vertical="center"/>
    </xf>
    <xf numFmtId="167" fontId="83" fillId="42" borderId="53" xfId="42" applyNumberFormat="1" applyFont="1" applyFill="1" applyBorder="1" applyAlignment="1">
      <alignment horizontal="center" vertical="center"/>
    </xf>
    <xf numFmtId="2" fontId="41" fillId="39" borderId="98" xfId="42" applyNumberFormat="1" applyFont="1" applyFill="1" applyBorder="1" applyAlignment="1">
      <alignment horizontal="center"/>
    </xf>
    <xf numFmtId="2" fontId="165" fillId="39" borderId="53" xfId="42" applyNumberFormat="1" applyFont="1" applyFill="1" applyBorder="1" applyAlignment="1">
      <alignment horizontal="center"/>
    </xf>
    <xf numFmtId="2" fontId="41" fillId="40" borderId="98" xfId="42" applyNumberFormat="1" applyFont="1" applyFill="1" applyBorder="1" applyAlignment="1">
      <alignment horizontal="center"/>
    </xf>
    <xf numFmtId="2" fontId="165" fillId="40" borderId="53" xfId="42" applyNumberFormat="1" applyFont="1" applyFill="1" applyBorder="1" applyAlignment="1">
      <alignment horizontal="center"/>
    </xf>
    <xf numFmtId="2" fontId="41" fillId="45" borderId="98" xfId="42" applyNumberFormat="1" applyFont="1" applyFill="1" applyBorder="1" applyAlignment="1">
      <alignment horizontal="center" vertical="center"/>
    </xf>
    <xf numFmtId="2" fontId="165" fillId="45" borderId="53" xfId="42" applyNumberFormat="1" applyFont="1" applyFill="1" applyBorder="1" applyAlignment="1">
      <alignment horizontal="center" vertical="center"/>
    </xf>
    <xf numFmtId="2" fontId="41" fillId="42" borderId="98" xfId="42" applyNumberFormat="1" applyFont="1" applyFill="1" applyBorder="1" applyAlignment="1">
      <alignment horizontal="center" vertical="center"/>
    </xf>
    <xf numFmtId="2" fontId="165" fillId="42" borderId="53" xfId="42" applyNumberFormat="1" applyFont="1" applyFill="1" applyBorder="1" applyAlignment="1">
      <alignment horizontal="center" vertical="center"/>
    </xf>
    <xf numFmtId="0" fontId="68" fillId="54" borderId="52" xfId="0" applyFont="1" applyFill="1" applyBorder="1" applyAlignment="1">
      <alignment horizontal="center" wrapText="1"/>
    </xf>
    <xf numFmtId="0" fontId="68" fillId="54" borderId="0" xfId="0" applyFont="1" applyFill="1" applyBorder="1" applyAlignment="1">
      <alignment horizontal="center" wrapText="1"/>
    </xf>
    <xf numFmtId="0" fontId="68" fillId="54" borderId="75" xfId="0" applyFont="1" applyFill="1" applyBorder="1" applyAlignment="1">
      <alignment horizontal="center" wrapText="1"/>
    </xf>
    <xf numFmtId="0" fontId="68" fillId="54" borderId="97" xfId="0" applyFont="1" applyFill="1" applyBorder="1" applyAlignment="1">
      <alignment horizontal="center" wrapText="1"/>
    </xf>
    <xf numFmtId="0" fontId="68" fillId="54" borderId="108" xfId="0" applyFont="1" applyFill="1" applyBorder="1" applyAlignment="1">
      <alignment horizontal="center" wrapText="1"/>
    </xf>
    <xf numFmtId="0" fontId="68" fillId="54" borderId="141" xfId="0" applyFont="1" applyFill="1" applyBorder="1" applyAlignment="1">
      <alignment horizontal="center" wrapText="1"/>
    </xf>
    <xf numFmtId="3" fontId="52" fillId="0" borderId="115" xfId="0" applyNumberFormat="1" applyFont="1" applyBorder="1" applyAlignment="1">
      <alignment horizontal="center" vertical="center"/>
    </xf>
    <xf numFmtId="0" fontId="52" fillId="0" borderId="126" xfId="0" applyFont="1" applyBorder="1" applyAlignment="1">
      <alignment horizontal="center" vertical="center"/>
    </xf>
    <xf numFmtId="0" fontId="52" fillId="0" borderId="124" xfId="0" applyFont="1" applyBorder="1" applyAlignment="1">
      <alignment horizontal="center" vertical="center"/>
    </xf>
    <xf numFmtId="0" fontId="0" fillId="0" borderId="0" xfId="0" applyFill="1" applyAlignment="1">
      <alignment horizontal="center" textRotation="90"/>
    </xf>
    <xf numFmtId="0" fontId="68" fillId="54" borderId="53" xfId="0" applyFont="1" applyFill="1" applyBorder="1" applyAlignment="1">
      <alignment horizontal="center" vertical="center" wrapText="1"/>
    </xf>
    <xf numFmtId="0" fontId="139" fillId="0" borderId="53" xfId="0" applyFont="1" applyBorder="1" applyAlignment="1">
      <alignment vertical="center"/>
    </xf>
    <xf numFmtId="0" fontId="139" fillId="0" borderId="53" xfId="0" applyFont="1" applyBorder="1" applyAlignment="1">
      <alignment horizontal="center" vertical="center" textRotation="90"/>
    </xf>
    <xf numFmtId="0" fontId="136" fillId="0" borderId="53" xfId="0" applyFont="1" applyBorder="1" applyAlignment="1">
      <alignment vertical="center"/>
    </xf>
    <xf numFmtId="0" fontId="34" fillId="0" borderId="100" xfId="0" applyFont="1" applyBorder="1" applyAlignment="1">
      <alignment vertical="center"/>
    </xf>
    <xf numFmtId="0" fontId="34" fillId="0" borderId="56" xfId="0" applyFont="1" applyBorder="1" applyAlignment="1">
      <alignment vertical="center"/>
    </xf>
    <xf numFmtId="0" fontId="34" fillId="0" borderId="121" xfId="0" applyFont="1" applyBorder="1" applyAlignment="1">
      <alignment vertical="center"/>
    </xf>
    <xf numFmtId="0" fontId="34" fillId="0" borderId="122" xfId="0" applyFont="1" applyBorder="1" applyAlignment="1">
      <alignment vertical="center"/>
    </xf>
    <xf numFmtId="0" fontId="34" fillId="0" borderId="119" xfId="0" applyFont="1" applyBorder="1" applyAlignment="1">
      <alignment vertical="center"/>
    </xf>
    <xf numFmtId="0" fontId="67" fillId="0" borderId="53" xfId="0" applyFont="1" applyFill="1" applyBorder="1"/>
    <xf numFmtId="0" fontId="32" fillId="54" borderId="100" xfId="0" applyFont="1" applyFill="1" applyBorder="1" applyAlignment="1">
      <alignment horizontal="center" vertical="center"/>
    </xf>
    <xf numFmtId="0" fontId="32" fillId="54" borderId="56" xfId="0" applyFont="1" applyFill="1" applyBorder="1" applyAlignment="1">
      <alignment horizontal="center" vertical="center"/>
    </xf>
    <xf numFmtId="0" fontId="32" fillId="54" borderId="100" xfId="0" applyFont="1" applyFill="1" applyBorder="1" applyAlignment="1">
      <alignment horizontal="center" vertical="center" wrapText="1"/>
    </xf>
    <xf numFmtId="0" fontId="32" fillId="54" borderId="56" xfId="0" applyFont="1" applyFill="1" applyBorder="1" applyAlignment="1">
      <alignment horizontal="center" vertical="center" wrapText="1"/>
    </xf>
    <xf numFmtId="0" fontId="135" fillId="0" borderId="53" xfId="0" applyFont="1" applyBorder="1" applyAlignment="1">
      <alignment horizontal="right"/>
    </xf>
    <xf numFmtId="9" fontId="135" fillId="0" borderId="53" xfId="42" applyFont="1" applyBorder="1" applyAlignment="1">
      <alignment horizontal="center"/>
    </xf>
    <xf numFmtId="0" fontId="34" fillId="0" borderId="53" xfId="0" applyFont="1" applyBorder="1" applyAlignment="1">
      <alignment horizontal="center" vertical="center" wrapText="1"/>
    </xf>
    <xf numFmtId="0" fontId="67" fillId="0" borderId="53" xfId="0" applyFont="1" applyFill="1" applyBorder="1" applyAlignment="1">
      <alignment horizontal="center" vertical="center" textRotation="90"/>
    </xf>
    <xf numFmtId="0" fontId="67" fillId="0" borderId="98" xfId="0" applyFont="1" applyFill="1" applyBorder="1" applyAlignment="1">
      <alignment wrapText="1"/>
    </xf>
    <xf numFmtId="0" fontId="67" fillId="0" borderId="38" xfId="0" applyFont="1" applyFill="1" applyBorder="1" applyAlignment="1">
      <alignment wrapText="1"/>
    </xf>
    <xf numFmtId="0" fontId="67" fillId="0" borderId="58" xfId="0" applyFont="1" applyFill="1" applyBorder="1" applyAlignment="1">
      <alignment wrapText="1"/>
    </xf>
    <xf numFmtId="0" fontId="67" fillId="0" borderId="53" xfId="0" applyFont="1" applyFill="1" applyBorder="1" applyAlignment="1">
      <alignment horizontal="left"/>
    </xf>
    <xf numFmtId="0" fontId="67" fillId="0" borderId="78" xfId="0" applyFont="1" applyFill="1" applyBorder="1" applyAlignment="1">
      <alignment horizontal="left"/>
    </xf>
    <xf numFmtId="0" fontId="135" fillId="0" borderId="139" xfId="0" applyFont="1" applyBorder="1" applyAlignment="1">
      <alignment horizontal="right"/>
    </xf>
    <xf numFmtId="0" fontId="135" fillId="0" borderId="142" xfId="0" applyFont="1" applyBorder="1" applyAlignment="1">
      <alignment horizontal="right"/>
    </xf>
    <xf numFmtId="0" fontId="135" fillId="0" borderId="140" xfId="0" applyFont="1" applyBorder="1" applyAlignment="1">
      <alignment horizontal="right"/>
    </xf>
    <xf numFmtId="0" fontId="67" fillId="0" borderId="78" xfId="0" applyFont="1" applyFill="1" applyBorder="1" applyAlignment="1">
      <alignment horizontal="center" vertical="center" textRotation="90"/>
    </xf>
    <xf numFmtId="0" fontId="67" fillId="0" borderId="71" xfId="0" applyFont="1" applyFill="1" applyBorder="1" applyAlignment="1">
      <alignment horizontal="center" vertical="center" textRotation="90"/>
    </xf>
    <xf numFmtId="0" fontId="67" fillId="0" borderId="79" xfId="0" applyFont="1" applyFill="1" applyBorder="1" applyAlignment="1">
      <alignment horizontal="center" vertical="center" textRotation="90"/>
    </xf>
    <xf numFmtId="0" fontId="67" fillId="0" borderId="78" xfId="0" applyFont="1" applyFill="1" applyBorder="1" applyAlignment="1">
      <alignment horizontal="left" vertical="center" wrapText="1"/>
    </xf>
    <xf numFmtId="0" fontId="67" fillId="0" borderId="79" xfId="0" applyFont="1" applyFill="1" applyBorder="1" applyAlignment="1">
      <alignment horizontal="left" vertical="center" wrapText="1"/>
    </xf>
    <xf numFmtId="0" fontId="67" fillId="0" borderId="78" xfId="0" applyFont="1" applyFill="1" applyBorder="1" applyAlignment="1">
      <alignment horizontal="center" vertical="center" textRotation="90" wrapText="1"/>
    </xf>
    <xf numFmtId="0" fontId="67" fillId="0" borderId="71" xfId="0" applyFont="1" applyFill="1" applyBorder="1" applyAlignment="1">
      <alignment horizontal="center" vertical="center" textRotation="90" wrapText="1"/>
    </xf>
    <xf numFmtId="0" fontId="67" fillId="0" borderId="79" xfId="0" applyFont="1" applyFill="1" applyBorder="1" applyAlignment="1">
      <alignment horizontal="center" vertical="center" textRotation="90" wrapText="1"/>
    </xf>
    <xf numFmtId="0" fontId="67" fillId="0" borderId="98" xfId="0" applyFont="1" applyFill="1" applyBorder="1" applyAlignment="1">
      <alignment horizontal="left" wrapText="1"/>
    </xf>
    <xf numFmtId="0" fontId="67" fillId="0" borderId="58" xfId="0" applyFont="1" applyFill="1" applyBorder="1" applyAlignment="1">
      <alignment horizontal="left" wrapText="1"/>
    </xf>
    <xf numFmtId="0" fontId="67" fillId="0" borderId="98" xfId="0" applyFont="1" applyFill="1" applyBorder="1" applyAlignment="1">
      <alignment horizontal="left"/>
    </xf>
    <xf numFmtId="0" fontId="67" fillId="0" borderId="38" xfId="0" applyFont="1" applyFill="1" applyBorder="1" applyAlignment="1">
      <alignment horizontal="left"/>
    </xf>
    <xf numFmtId="0" fontId="67" fillId="0" borderId="58" xfId="0" applyFont="1" applyFill="1" applyBorder="1" applyAlignment="1">
      <alignment horizontal="left"/>
    </xf>
    <xf numFmtId="0" fontId="67" fillId="0" borderId="53" xfId="0" applyFont="1" applyFill="1" applyBorder="1" applyAlignment="1">
      <alignment horizontal="left" vertical="center"/>
    </xf>
    <xf numFmtId="0" fontId="69" fillId="54" borderId="78" xfId="0" applyFont="1" applyFill="1" applyBorder="1" applyAlignment="1">
      <alignment horizontal="center" textRotation="90" wrapText="1"/>
    </xf>
    <xf numFmtId="0" fontId="69" fillId="54" borderId="79" xfId="0" applyFont="1" applyFill="1" applyBorder="1" applyAlignment="1">
      <alignment horizontal="center" textRotation="90" wrapText="1"/>
    </xf>
    <xf numFmtId="0" fontId="69" fillId="54" borderId="53" xfId="0" applyFont="1" applyFill="1" applyBorder="1" applyAlignment="1">
      <alignment horizontal="center" wrapText="1"/>
    </xf>
    <xf numFmtId="0" fontId="0" fillId="0" borderId="53" xfId="0" applyBorder="1" applyAlignment="1">
      <alignment horizontal="right"/>
    </xf>
    <xf numFmtId="0" fontId="68" fillId="54" borderId="142" xfId="0" applyFont="1" applyFill="1" applyBorder="1" applyAlignment="1">
      <alignment horizontal="center" wrapText="1"/>
    </xf>
    <xf numFmtId="0" fontId="68" fillId="54" borderId="140" xfId="0" applyFont="1" applyFill="1" applyBorder="1" applyAlignment="1">
      <alignment horizontal="center" wrapText="1"/>
    </xf>
    <xf numFmtId="0" fontId="67" fillId="0" borderId="53" xfId="0" applyFont="1" applyFill="1" applyBorder="1" applyAlignment="1">
      <alignment horizontal="center" vertical="center"/>
    </xf>
    <xf numFmtId="0" fontId="16" fillId="0" borderId="98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16" fillId="0" borderId="58" xfId="0" applyFont="1" applyBorder="1" applyAlignment="1">
      <alignment horizontal="right"/>
    </xf>
    <xf numFmtId="0" fontId="0" fillId="0" borderId="53" xfId="0" applyBorder="1" applyAlignment="1">
      <alignment horizontal="center" textRotation="90"/>
    </xf>
    <xf numFmtId="0" fontId="69" fillId="54" borderId="78" xfId="0" applyFont="1" applyFill="1" applyBorder="1" applyAlignment="1">
      <alignment horizontal="center" wrapText="1"/>
    </xf>
    <xf numFmtId="0" fontId="69" fillId="54" borderId="79" xfId="0" applyFont="1" applyFill="1" applyBorder="1" applyAlignment="1">
      <alignment horizontal="center" wrapText="1"/>
    </xf>
    <xf numFmtId="0" fontId="68" fillId="54" borderId="53" xfId="0" applyFont="1" applyFill="1" applyBorder="1" applyAlignment="1">
      <alignment horizontal="center" wrapText="1"/>
    </xf>
    <xf numFmtId="0" fontId="57" fillId="0" borderId="53" xfId="0" applyFont="1" applyBorder="1" applyAlignment="1">
      <alignment horizontal="right" vertical="center" wrapText="1"/>
    </xf>
    <xf numFmtId="0" fontId="34" fillId="0" borderId="100" xfId="0" applyFont="1" applyBorder="1" applyAlignment="1">
      <alignment vertical="center" wrapText="1"/>
    </xf>
    <xf numFmtId="0" fontId="34" fillId="0" borderId="101" xfId="0" applyFont="1" applyBorder="1" applyAlignment="1">
      <alignment vertical="center" wrapText="1"/>
    </xf>
    <xf numFmtId="0" fontId="34" fillId="0" borderId="56" xfId="0" applyFont="1" applyBorder="1" applyAlignment="1">
      <alignment vertical="center" wrapText="1"/>
    </xf>
    <xf numFmtId="0" fontId="150" fillId="0" borderId="100" xfId="0" applyFont="1" applyBorder="1" applyAlignment="1">
      <alignment vertical="center"/>
    </xf>
    <xf numFmtId="0" fontId="150" fillId="0" borderId="56" xfId="0" applyFont="1" applyBorder="1" applyAlignment="1">
      <alignment vertical="center"/>
    </xf>
    <xf numFmtId="0" fontId="134" fillId="0" borderId="0" xfId="0" applyFont="1" applyBorder="1" applyAlignment="1">
      <alignment vertical="center" wrapText="1"/>
    </xf>
    <xf numFmtId="0" fontId="134" fillId="0" borderId="0" xfId="0" applyFont="1" applyAlignment="1">
      <alignment vertical="center" wrapText="1"/>
    </xf>
    <xf numFmtId="0" fontId="34" fillId="0" borderId="53" xfId="0" applyFont="1" applyBorder="1" applyAlignment="1">
      <alignment vertical="center" wrapText="1"/>
    </xf>
    <xf numFmtId="1" fontId="83" fillId="0" borderId="140" xfId="0" applyNumberFormat="1" applyFont="1" applyFill="1" applyBorder="1" applyAlignment="1">
      <alignment horizontal="center" vertical="center"/>
    </xf>
    <xf numFmtId="1" fontId="83" fillId="0" borderId="75" xfId="0" applyNumberFormat="1" applyFont="1" applyFill="1" applyBorder="1" applyAlignment="1">
      <alignment horizontal="center" vertical="center"/>
    </xf>
    <xf numFmtId="1" fontId="83" fillId="0" borderId="141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108" xfId="0" applyNumberFormat="1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68" fillId="54" borderId="120" xfId="0" applyFont="1" applyFill="1" applyBorder="1" applyAlignment="1">
      <alignment horizontal="center" wrapText="1"/>
    </xf>
    <xf numFmtId="1" fontId="0" fillId="0" borderId="142" xfId="0" applyNumberFormat="1" applyFill="1" applyBorder="1" applyAlignment="1">
      <alignment horizontal="center" vertical="center"/>
    </xf>
    <xf numFmtId="1" fontId="0" fillId="0" borderId="108" xfId="0" applyNumberFormat="1" applyFill="1" applyBorder="1" applyAlignment="1">
      <alignment horizontal="center" vertical="center"/>
    </xf>
    <xf numFmtId="9" fontId="0" fillId="0" borderId="142" xfId="42" applyFont="1" applyFill="1" applyBorder="1" applyAlignment="1">
      <alignment horizontal="center" vertical="center"/>
    </xf>
    <xf numFmtId="9" fontId="0" fillId="0" borderId="0" xfId="42" applyFont="1" applyFill="1" applyBorder="1" applyAlignment="1">
      <alignment horizontal="center" vertical="center"/>
    </xf>
    <xf numFmtId="9" fontId="0" fillId="0" borderId="108" xfId="42" applyFont="1" applyFill="1" applyBorder="1" applyAlignment="1">
      <alignment horizontal="center" vertical="center"/>
    </xf>
    <xf numFmtId="166" fontId="0" fillId="0" borderId="142" xfId="42" applyNumberFormat="1" applyFont="1" applyFill="1" applyBorder="1" applyAlignment="1">
      <alignment horizontal="center" vertical="center"/>
    </xf>
    <xf numFmtId="166" fontId="0" fillId="0" borderId="0" xfId="42" applyNumberFormat="1" applyFont="1" applyFill="1" applyBorder="1" applyAlignment="1">
      <alignment horizontal="center" vertical="center"/>
    </xf>
    <xf numFmtId="166" fontId="0" fillId="0" borderId="108" xfId="42" applyNumberFormat="1" applyFont="1" applyFill="1" applyBorder="1" applyAlignment="1">
      <alignment horizontal="center" vertical="center"/>
    </xf>
    <xf numFmtId="1" fontId="0" fillId="0" borderId="140" xfId="42" applyNumberFormat="1" applyFont="1" applyFill="1" applyBorder="1" applyAlignment="1">
      <alignment horizontal="center" vertical="center"/>
    </xf>
    <xf numFmtId="1" fontId="0" fillId="0" borderId="75" xfId="42" applyNumberFormat="1" applyFont="1" applyFill="1" applyBorder="1" applyAlignment="1">
      <alignment horizontal="center" vertical="center"/>
    </xf>
    <xf numFmtId="1" fontId="0" fillId="0" borderId="141" xfId="42" applyNumberFormat="1" applyFont="1" applyFill="1" applyBorder="1" applyAlignment="1">
      <alignment horizontal="center" vertical="center"/>
    </xf>
    <xf numFmtId="0" fontId="0" fillId="0" borderId="139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97" xfId="0" applyFill="1" applyBorder="1" applyAlignment="1">
      <alignment horizontal="center" vertical="center"/>
    </xf>
    <xf numFmtId="166" fontId="0" fillId="0" borderId="142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166" fontId="0" fillId="0" borderId="108" xfId="0" applyNumberFormat="1" applyFill="1" applyBorder="1" applyAlignment="1">
      <alignment horizontal="center" vertical="center"/>
    </xf>
    <xf numFmtId="1" fontId="0" fillId="0" borderId="140" xfId="0" applyNumberFormat="1" applyFill="1" applyBorder="1" applyAlignment="1">
      <alignment horizontal="center" vertical="center"/>
    </xf>
    <xf numFmtId="1" fontId="0" fillId="0" borderId="75" xfId="0" applyNumberFormat="1" applyFill="1" applyBorder="1" applyAlignment="1">
      <alignment horizontal="center" vertical="center"/>
    </xf>
    <xf numFmtId="1" fontId="0" fillId="0" borderId="14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108" xfId="0" applyFill="1" applyBorder="1" applyAlignment="1">
      <alignment horizontal="left" vertical="center" wrapText="1"/>
    </xf>
    <xf numFmtId="9" fontId="0" fillId="0" borderId="0" xfId="0" applyNumberFormat="1" applyFill="1" applyBorder="1" applyAlignment="1">
      <alignment horizontal="center" vertical="center"/>
    </xf>
    <xf numFmtId="9" fontId="0" fillId="0" borderId="108" xfId="0" applyNumberFormat="1" applyFill="1" applyBorder="1" applyAlignment="1">
      <alignment horizontal="center" vertical="center"/>
    </xf>
    <xf numFmtId="166" fontId="41" fillId="0" borderId="0" xfId="0" applyNumberFormat="1" applyFont="1" applyFill="1" applyBorder="1" applyAlignment="1">
      <alignment horizontal="right" vertical="center" indent="1"/>
    </xf>
    <xf numFmtId="166" fontId="41" fillId="0" borderId="108" xfId="0" applyNumberFormat="1" applyFont="1" applyFill="1" applyBorder="1" applyAlignment="1">
      <alignment horizontal="right" vertical="center" indent="1"/>
    </xf>
    <xf numFmtId="0" fontId="0" fillId="0" borderId="139" xfId="0" applyFill="1" applyBorder="1" applyAlignment="1">
      <alignment horizontal="left" vertical="center" wrapText="1"/>
    </xf>
    <xf numFmtId="0" fontId="0" fillId="0" borderId="97" xfId="0" applyFill="1" applyBorder="1" applyAlignment="1">
      <alignment horizontal="left" vertical="center" wrapText="1"/>
    </xf>
    <xf numFmtId="9" fontId="0" fillId="0" borderId="142" xfId="0" applyNumberFormat="1" applyFill="1" applyBorder="1" applyAlignment="1">
      <alignment horizontal="center" vertical="center"/>
    </xf>
    <xf numFmtId="166" fontId="41" fillId="0" borderId="142" xfId="0" applyNumberFormat="1" applyFont="1" applyFill="1" applyBorder="1" applyAlignment="1">
      <alignment horizontal="right" vertical="center" indent="1"/>
    </xf>
    <xf numFmtId="9" fontId="83" fillId="0" borderId="142" xfId="0" applyNumberFormat="1" applyFont="1" applyFill="1" applyBorder="1" applyAlignment="1">
      <alignment horizontal="center" vertical="center"/>
    </xf>
    <xf numFmtId="9" fontId="83" fillId="0" borderId="0" xfId="0" applyNumberFormat="1" applyFont="1" applyFill="1" applyBorder="1" applyAlignment="1">
      <alignment horizontal="center" vertical="center"/>
    </xf>
    <xf numFmtId="9" fontId="83" fillId="0" borderId="108" xfId="0" applyNumberFormat="1" applyFont="1" applyFill="1" applyBorder="1" applyAlignment="1">
      <alignment horizontal="center" vertical="center"/>
    </xf>
    <xf numFmtId="0" fontId="83" fillId="0" borderId="139" xfId="0" applyFont="1" applyFill="1" applyBorder="1" applyAlignment="1">
      <alignment horizontal="center" vertical="center"/>
    </xf>
    <xf numFmtId="0" fontId="83" fillId="0" borderId="52" xfId="0" applyFont="1" applyFill="1" applyBorder="1" applyAlignment="1">
      <alignment horizontal="center" vertical="center"/>
    </xf>
    <xf numFmtId="0" fontId="83" fillId="0" borderId="97" xfId="0" applyFont="1" applyFill="1" applyBorder="1" applyAlignment="1">
      <alignment horizontal="center" vertical="center"/>
    </xf>
    <xf numFmtId="166" fontId="83" fillId="0" borderId="142" xfId="0" applyNumberFormat="1" applyFont="1" applyFill="1" applyBorder="1" applyAlignment="1">
      <alignment horizontal="center" vertical="center"/>
    </xf>
    <xf numFmtId="166" fontId="83" fillId="0" borderId="0" xfId="0" applyNumberFormat="1" applyFont="1" applyFill="1" applyBorder="1" applyAlignment="1">
      <alignment horizontal="center" vertical="center"/>
    </xf>
    <xf numFmtId="166" fontId="83" fillId="0" borderId="108" xfId="0" applyNumberFormat="1" applyFont="1" applyFill="1" applyBorder="1" applyAlignment="1">
      <alignment horizontal="center" vertical="center"/>
    </xf>
    <xf numFmtId="0" fontId="32" fillId="54" borderId="53" xfId="0" applyFont="1" applyFill="1" applyBorder="1" applyAlignment="1">
      <alignment horizontal="center" vertical="center" wrapText="1"/>
    </xf>
    <xf numFmtId="0" fontId="129" fillId="54" borderId="53" xfId="0" applyFont="1" applyFill="1" applyBorder="1" applyAlignment="1">
      <alignment horizontal="center" vertical="center" wrapText="1"/>
    </xf>
    <xf numFmtId="164" fontId="131" fillId="0" borderId="53" xfId="42" applyNumberFormat="1" applyFont="1" applyBorder="1" applyAlignment="1">
      <alignment horizontal="right" vertical="center" wrapText="1" indent="2"/>
    </xf>
    <xf numFmtId="0" fontId="107" fillId="65" borderId="129" xfId="0" applyFont="1" applyFill="1" applyBorder="1" applyAlignment="1">
      <alignment vertical="center" wrapText="1"/>
    </xf>
    <xf numFmtId="0" fontId="107" fillId="65" borderId="130" xfId="0" applyFont="1" applyFill="1" applyBorder="1" applyAlignment="1">
      <alignment vertical="center" wrapText="1"/>
    </xf>
    <xf numFmtId="0" fontId="107" fillId="65" borderId="131" xfId="0" applyFont="1" applyFill="1" applyBorder="1" applyAlignment="1">
      <alignment vertical="center" wrapText="1"/>
    </xf>
    <xf numFmtId="0" fontId="107" fillId="0" borderId="133" xfId="0" applyFont="1" applyBorder="1" applyAlignment="1">
      <alignment vertical="center" wrapText="1"/>
    </xf>
    <xf numFmtId="0" fontId="107" fillId="0" borderId="132" xfId="0" applyFont="1" applyBorder="1" applyAlignment="1">
      <alignment vertical="center" wrapText="1"/>
    </xf>
    <xf numFmtId="0" fontId="107" fillId="0" borderId="127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32" fillId="54" borderId="135" xfId="0" applyFont="1" applyFill="1" applyBorder="1" applyAlignment="1">
      <alignment horizontal="center" vertical="center" wrapText="1"/>
    </xf>
    <xf numFmtId="0" fontId="32" fillId="54" borderId="136" xfId="0" applyFont="1" applyFill="1" applyBorder="1" applyAlignment="1">
      <alignment horizontal="center" vertical="center" wrapText="1"/>
    </xf>
    <xf numFmtId="0" fontId="107" fillId="0" borderId="137" xfId="0" applyFont="1" applyBorder="1" applyAlignment="1">
      <alignment vertical="center" wrapText="1"/>
    </xf>
    <xf numFmtId="0" fontId="0" fillId="47" borderId="0" xfId="0" applyFill="1" applyAlignment="1">
      <alignment horizontal="left" wrapText="1"/>
    </xf>
    <xf numFmtId="0" fontId="32" fillId="54" borderId="129" xfId="0" applyFont="1" applyFill="1" applyBorder="1" applyAlignment="1">
      <alignment horizontal="center" vertical="center" wrapText="1"/>
    </xf>
    <xf numFmtId="0" fontId="32" fillId="54" borderId="130" xfId="0" applyFont="1" applyFill="1" applyBorder="1" applyAlignment="1">
      <alignment horizontal="center" vertical="center" wrapText="1"/>
    </xf>
    <xf numFmtId="0" fontId="32" fillId="54" borderId="131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0" fontId="34" fillId="49" borderId="53" xfId="0" applyFont="1" applyFill="1" applyBorder="1" applyAlignment="1">
      <alignment horizontal="right" vertical="center" wrapText="1"/>
    </xf>
    <xf numFmtId="0" fontId="51" fillId="0" borderId="100" xfId="0" applyFont="1" applyBorder="1" applyAlignment="1">
      <alignment vertical="center" wrapText="1"/>
    </xf>
    <xf numFmtId="0" fontId="51" fillId="0" borderId="56" xfId="0" applyFont="1" applyBorder="1" applyAlignment="1">
      <alignment vertical="center" wrapText="1"/>
    </xf>
    <xf numFmtId="0" fontId="34" fillId="54" borderId="53" xfId="0" applyFont="1" applyFill="1" applyBorder="1" applyAlignment="1">
      <alignment vertical="center" wrapText="1"/>
    </xf>
    <xf numFmtId="0" fontId="34" fillId="0" borderId="53" xfId="0" applyFont="1" applyBorder="1" applyAlignment="1">
      <alignment horizontal="center" vertical="center"/>
    </xf>
    <xf numFmtId="0" fontId="55" fillId="0" borderId="53" xfId="0" applyFont="1" applyBorder="1" applyAlignment="1">
      <alignment vertical="center" wrapText="1"/>
    </xf>
    <xf numFmtId="0" fontId="34" fillId="0" borderId="53" xfId="0" applyFont="1" applyBorder="1" applyAlignment="1">
      <alignment vertical="center"/>
    </xf>
    <xf numFmtId="0" fontId="32" fillId="54" borderId="98" xfId="0" applyFont="1" applyFill="1" applyBorder="1" applyAlignment="1">
      <alignment horizontal="center" vertical="center" wrapText="1"/>
    </xf>
    <xf numFmtId="0" fontId="32" fillId="54" borderId="38" xfId="0" applyFont="1" applyFill="1" applyBorder="1" applyAlignment="1">
      <alignment horizontal="center" vertical="center" wrapText="1"/>
    </xf>
    <xf numFmtId="0" fontId="34" fillId="0" borderId="115" xfId="0" applyFont="1" applyBorder="1" applyAlignment="1">
      <alignment horizontal="left" vertical="center"/>
    </xf>
    <xf numFmtId="0" fontId="34" fillId="0" borderId="126" xfId="0" applyFont="1" applyBorder="1" applyAlignment="1">
      <alignment horizontal="left" vertical="center"/>
    </xf>
    <xf numFmtId="0" fontId="34" fillId="0" borderId="124" xfId="0" applyFont="1" applyBorder="1" applyAlignment="1">
      <alignment horizontal="left" vertical="center"/>
    </xf>
    <xf numFmtId="0" fontId="34" fillId="0" borderId="53" xfId="0" applyFont="1" applyFill="1" applyBorder="1" applyAlignment="1">
      <alignment vertical="center"/>
    </xf>
    <xf numFmtId="0" fontId="34" fillId="0" borderId="53" xfId="0" applyFont="1" applyFill="1" applyBorder="1" applyAlignment="1">
      <alignment vertical="center" wrapText="1"/>
    </xf>
    <xf numFmtId="0" fontId="55" fillId="0" borderId="0" xfId="0" applyFont="1" applyBorder="1" applyAlignment="1">
      <alignment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/>
    </xf>
    <xf numFmtId="0" fontId="102" fillId="0" borderId="53" xfId="0" applyFont="1" applyBorder="1" applyAlignment="1">
      <alignment horizontal="center" vertical="center" wrapText="1"/>
    </xf>
    <xf numFmtId="0" fontId="34" fillId="63" borderId="121" xfId="0" applyFont="1" applyFill="1" applyBorder="1" applyAlignment="1">
      <alignment vertical="center" wrapText="1"/>
    </xf>
    <xf numFmtId="0" fontId="34" fillId="63" borderId="122" xfId="0" applyFont="1" applyFill="1" applyBorder="1" applyAlignment="1">
      <alignment vertical="center" wrapText="1"/>
    </xf>
    <xf numFmtId="0" fontId="34" fillId="63" borderId="119" xfId="0" applyFont="1" applyFill="1" applyBorder="1" applyAlignment="1">
      <alignment vertical="center" wrapText="1"/>
    </xf>
    <xf numFmtId="0" fontId="104" fillId="65" borderId="53" xfId="0" applyFont="1" applyFill="1" applyBorder="1" applyAlignment="1">
      <alignment horizontal="right" vertical="center" wrapText="1"/>
    </xf>
    <xf numFmtId="0" fontId="34" fillId="36" borderId="53" xfId="0" applyFont="1" applyFill="1" applyBorder="1" applyAlignment="1">
      <alignment horizontal="right" vertical="center" wrapText="1"/>
    </xf>
    <xf numFmtId="0" fontId="34" fillId="0" borderId="53" xfId="0" applyFont="1" applyFill="1" applyBorder="1" applyAlignment="1">
      <alignment horizontal="right" vertical="center" wrapText="1"/>
    </xf>
    <xf numFmtId="0" fontId="104" fillId="36" borderId="53" xfId="0" applyFont="1" applyFill="1" applyBorder="1" applyAlignment="1">
      <alignment horizontal="right" vertical="center" wrapText="1"/>
    </xf>
    <xf numFmtId="0" fontId="32" fillId="54" borderId="149" xfId="0" applyFont="1" applyFill="1" applyBorder="1" applyAlignment="1">
      <alignment horizontal="center" vertical="center" wrapText="1"/>
    </xf>
    <xf numFmtId="0" fontId="32" fillId="54" borderId="110" xfId="0" applyFont="1" applyFill="1" applyBorder="1" applyAlignment="1">
      <alignment horizontal="center" vertical="center" wrapText="1"/>
    </xf>
    <xf numFmtId="0" fontId="143" fillId="54" borderId="146" xfId="0" applyFont="1" applyFill="1" applyBorder="1" applyAlignment="1">
      <alignment horizontal="left" vertical="center" wrapText="1" readingOrder="1"/>
    </xf>
    <xf numFmtId="0" fontId="143" fillId="54" borderId="147" xfId="0" applyFont="1" applyFill="1" applyBorder="1" applyAlignment="1">
      <alignment horizontal="left" vertical="center" wrapText="1" readingOrder="1"/>
    </xf>
    <xf numFmtId="0" fontId="143" fillId="54" borderId="136" xfId="0" applyFont="1" applyFill="1" applyBorder="1" applyAlignment="1">
      <alignment horizontal="left" vertical="center" wrapText="1" readingOrder="1"/>
    </xf>
    <xf numFmtId="0" fontId="144" fillId="69" borderId="146" xfId="0" applyFont="1" applyFill="1" applyBorder="1" applyAlignment="1">
      <alignment horizontal="left" vertical="center" wrapText="1" readingOrder="1"/>
    </xf>
    <xf numFmtId="0" fontId="144" fillId="69" borderId="136" xfId="0" applyFont="1" applyFill="1" applyBorder="1" applyAlignment="1">
      <alignment horizontal="left" vertical="center" wrapText="1" readingOrder="1"/>
    </xf>
    <xf numFmtId="0" fontId="144" fillId="71" borderId="135" xfId="0" applyFont="1" applyFill="1" applyBorder="1" applyAlignment="1">
      <alignment horizontal="left" vertical="center" wrapText="1" readingOrder="1"/>
    </xf>
    <xf numFmtId="0" fontId="144" fillId="71" borderId="136" xfId="0" applyFont="1" applyFill="1" applyBorder="1" applyAlignment="1">
      <alignment horizontal="left" vertical="center" wrapText="1" readingOrder="1"/>
    </xf>
    <xf numFmtId="0" fontId="143" fillId="54" borderId="135" xfId="0" applyFont="1" applyFill="1" applyBorder="1" applyAlignment="1">
      <alignment horizontal="left" vertical="center" wrapText="1" readingOrder="1"/>
    </xf>
    <xf numFmtId="0" fontId="144" fillId="69" borderId="135" xfId="0" applyFont="1" applyFill="1" applyBorder="1" applyAlignment="1">
      <alignment horizontal="left" vertical="center" wrapText="1" readingOrder="1"/>
    </xf>
    <xf numFmtId="0" fontId="144" fillId="71" borderId="147" xfId="0" applyFont="1" applyFill="1" applyBorder="1" applyAlignment="1">
      <alignment horizontal="left" vertical="center" wrapText="1" readingOrder="1"/>
    </xf>
    <xf numFmtId="0" fontId="150" fillId="69" borderId="146" xfId="0" applyFont="1" applyFill="1" applyBorder="1" applyAlignment="1">
      <alignment horizontal="left" vertical="center" wrapText="1" readingOrder="1"/>
    </xf>
    <xf numFmtId="0" fontId="150" fillId="69" borderId="147" xfId="0" applyFont="1" applyFill="1" applyBorder="1" applyAlignment="1">
      <alignment horizontal="left" vertical="center" wrapText="1" readingOrder="1"/>
    </xf>
    <xf numFmtId="0" fontId="150" fillId="69" borderId="136" xfId="0" applyFont="1" applyFill="1" applyBorder="1" applyAlignment="1">
      <alignment horizontal="left" vertical="center" wrapText="1" readingOrder="1"/>
    </xf>
    <xf numFmtId="0" fontId="150" fillId="70" borderId="135" xfId="0" applyFont="1" applyFill="1" applyBorder="1" applyAlignment="1">
      <alignment horizontal="left" vertical="center" wrapText="1" readingOrder="1"/>
    </xf>
    <xf numFmtId="0" fontId="150" fillId="70" borderId="147" xfId="0" applyFont="1" applyFill="1" applyBorder="1" applyAlignment="1">
      <alignment horizontal="left" vertical="center" wrapText="1" readingOrder="1"/>
    </xf>
    <xf numFmtId="0" fontId="150" fillId="70" borderId="136" xfId="0" applyFont="1" applyFill="1" applyBorder="1" applyAlignment="1">
      <alignment horizontal="left" vertical="center" wrapText="1" readingOrder="1"/>
    </xf>
    <xf numFmtId="0" fontId="150" fillId="69" borderId="135" xfId="0" applyFont="1" applyFill="1" applyBorder="1" applyAlignment="1">
      <alignment horizontal="left" vertical="center" wrapText="1" readingOrder="1"/>
    </xf>
    <xf numFmtId="0" fontId="107" fillId="36" borderId="53" xfId="0" applyFont="1" applyFill="1" applyBorder="1" applyAlignment="1">
      <alignment horizontal="right" vertical="center" wrapText="1"/>
    </xf>
    <xf numFmtId="0" fontId="69" fillId="54" borderId="53" xfId="0" applyFont="1" applyFill="1" applyBorder="1" applyAlignment="1">
      <alignment horizontal="center" vertical="center" wrapText="1"/>
    </xf>
    <xf numFmtId="0" fontId="0" fillId="45" borderId="53" xfId="0" applyFill="1" applyBorder="1" applyAlignment="1">
      <alignment horizontal="left" vertical="center"/>
    </xf>
    <xf numFmtId="0" fontId="0" fillId="40" borderId="53" xfId="0" applyFill="1" applyBorder="1" applyAlignment="1">
      <alignment horizontal="center" vertical="center"/>
    </xf>
    <xf numFmtId="0" fontId="0" fillId="45" borderId="12" xfId="0" applyFill="1" applyBorder="1" applyAlignment="1">
      <alignment horizontal="left" vertical="center" wrapText="1"/>
    </xf>
    <xf numFmtId="0" fontId="0" fillId="45" borderId="41" xfId="0" applyFill="1" applyBorder="1" applyAlignment="1">
      <alignment horizontal="left" vertical="center" wrapText="1"/>
    </xf>
    <xf numFmtId="0" fontId="0" fillId="42" borderId="53" xfId="0" applyFill="1" applyBorder="1" applyAlignment="1">
      <alignment horizontal="left"/>
    </xf>
    <xf numFmtId="0" fontId="0" fillId="42" borderId="53" xfId="0" applyFill="1" applyBorder="1" applyAlignment="1">
      <alignment horizontal="center" vertical="center"/>
    </xf>
    <xf numFmtId="0" fontId="0" fillId="45" borderId="53" xfId="0" applyFill="1" applyBorder="1" applyAlignment="1">
      <alignment horizontal="left"/>
    </xf>
    <xf numFmtId="0" fontId="0" fillId="45" borderId="53" xfId="0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0" fillId="45" borderId="53" xfId="0" applyFill="1" applyBorder="1"/>
    <xf numFmtId="0" fontId="0" fillId="42" borderId="53" xfId="0" applyFill="1" applyBorder="1"/>
    <xf numFmtId="0" fontId="0" fillId="39" borderId="58" xfId="0" applyFill="1" applyBorder="1"/>
    <xf numFmtId="0" fontId="0" fillId="39" borderId="53" xfId="0" applyFill="1" applyBorder="1"/>
    <xf numFmtId="0" fontId="0" fillId="40" borderId="58" xfId="0" applyFill="1" applyBorder="1"/>
    <xf numFmtId="0" fontId="0" fillId="40" borderId="53" xfId="0" applyFill="1" applyBorder="1"/>
    <xf numFmtId="0" fontId="26" fillId="38" borderId="0" xfId="0" applyFont="1" applyFill="1" applyBorder="1" applyAlignment="1">
      <alignment horizontal="center" wrapText="1"/>
    </xf>
    <xf numFmtId="0" fontId="26" fillId="38" borderId="75" xfId="0" applyFont="1" applyFill="1" applyBorder="1" applyAlignment="1">
      <alignment horizontal="center" wrapText="1"/>
    </xf>
    <xf numFmtId="1" fontId="83" fillId="45" borderId="45" xfId="0" applyNumberFormat="1" applyFont="1" applyFill="1" applyBorder="1" applyAlignment="1">
      <alignment horizontal="center" vertical="center" wrapText="1"/>
    </xf>
    <xf numFmtId="1" fontId="83" fillId="45" borderId="40" xfId="0" applyNumberFormat="1" applyFont="1" applyFill="1" applyBorder="1" applyAlignment="1">
      <alignment horizontal="center" vertical="center" wrapText="1"/>
    </xf>
    <xf numFmtId="1" fontId="83" fillId="45" borderId="11" xfId="0" applyNumberFormat="1" applyFont="1" applyFill="1" applyBorder="1" applyAlignment="1">
      <alignment horizontal="center" vertical="center" wrapText="1"/>
    </xf>
    <xf numFmtId="0" fontId="0" fillId="40" borderId="58" xfId="0" applyFill="1" applyBorder="1" applyAlignment="1">
      <alignment horizontal="center" vertical="center"/>
    </xf>
    <xf numFmtId="0" fontId="0" fillId="39" borderId="39" xfId="0" applyFill="1" applyBorder="1" applyAlignment="1">
      <alignment horizontal="center" vertical="center" wrapText="1"/>
    </xf>
    <xf numFmtId="0" fontId="0" fillId="45" borderId="45" xfId="0" applyFill="1" applyBorder="1" applyAlignment="1">
      <alignment horizontal="center" vertical="center" wrapText="1"/>
    </xf>
    <xf numFmtId="0" fontId="0" fillId="45" borderId="11" xfId="0" applyFill="1" applyBorder="1" applyAlignment="1">
      <alignment horizontal="center" vertical="center" wrapText="1"/>
    </xf>
    <xf numFmtId="1" fontId="0" fillId="45" borderId="45" xfId="43" applyNumberFormat="1" applyFont="1" applyFill="1" applyBorder="1" applyAlignment="1">
      <alignment horizontal="center" vertical="center" wrapText="1"/>
    </xf>
    <xf numFmtId="1" fontId="0" fillId="45" borderId="40" xfId="43" applyNumberFormat="1" applyFont="1" applyFill="1" applyBorder="1" applyAlignment="1">
      <alignment horizontal="center" vertical="center" wrapText="1"/>
    </xf>
    <xf numFmtId="1" fontId="0" fillId="45" borderId="11" xfId="43" applyNumberFormat="1" applyFont="1" applyFill="1" applyBorder="1" applyAlignment="1">
      <alignment horizontal="center" vertical="center" wrapText="1"/>
    </xf>
    <xf numFmtId="1" fontId="0" fillId="45" borderId="45" xfId="0" applyNumberFormat="1" applyFont="1" applyFill="1" applyBorder="1" applyAlignment="1">
      <alignment horizontal="center" vertical="center" wrapText="1"/>
    </xf>
    <xf numFmtId="1" fontId="0" fillId="45" borderId="40" xfId="0" applyNumberFormat="1" applyFont="1" applyFill="1" applyBorder="1" applyAlignment="1">
      <alignment horizontal="center" vertical="center" wrapText="1"/>
    </xf>
    <xf numFmtId="1" fontId="0" fillId="45" borderId="11" xfId="0" applyNumberFormat="1" applyFont="1" applyFill="1" applyBorder="1" applyAlignment="1">
      <alignment horizontal="center" vertical="center" wrapText="1"/>
    </xf>
    <xf numFmtId="0" fontId="0" fillId="42" borderId="45" xfId="0" applyFill="1" applyBorder="1" applyAlignment="1">
      <alignment horizontal="center" vertical="center"/>
    </xf>
    <xf numFmtId="0" fontId="0" fillId="42" borderId="40" xfId="0" applyFill="1" applyBorder="1" applyAlignment="1">
      <alignment horizontal="center" vertical="center"/>
    </xf>
    <xf numFmtId="0" fontId="0" fillId="42" borderId="11" xfId="0" applyFill="1" applyBorder="1" applyAlignment="1">
      <alignment horizontal="center" vertical="center"/>
    </xf>
    <xf numFmtId="0" fontId="47" fillId="53" borderId="84" xfId="0" applyFont="1" applyFill="1" applyBorder="1" applyAlignment="1">
      <alignment horizontal="left" wrapText="1"/>
    </xf>
    <xf numFmtId="0" fontId="47" fillId="53" borderId="87" xfId="0" applyFont="1" applyFill="1" applyBorder="1" applyAlignment="1">
      <alignment horizontal="left" wrapText="1"/>
    </xf>
    <xf numFmtId="0" fontId="47" fillId="53" borderId="91" xfId="0" applyFont="1" applyFill="1" applyBorder="1" applyAlignment="1">
      <alignment horizontal="left" wrapText="1"/>
    </xf>
    <xf numFmtId="0" fontId="47" fillId="53" borderId="92" xfId="0" applyFont="1" applyFill="1" applyBorder="1" applyAlignment="1">
      <alignment horizontal="left" wrapText="1"/>
    </xf>
    <xf numFmtId="0" fontId="47" fillId="53" borderId="91" xfId="0" applyFont="1" applyFill="1" applyBorder="1" applyAlignment="1">
      <alignment horizontal="right" wrapText="1"/>
    </xf>
    <xf numFmtId="0" fontId="47" fillId="53" borderId="92" xfId="0" applyFont="1" applyFill="1" applyBorder="1" applyAlignment="1">
      <alignment horizontal="right" wrapText="1"/>
    </xf>
    <xf numFmtId="0" fontId="0" fillId="0" borderId="53" xfId="0" applyBorder="1" applyAlignment="1">
      <alignment horizontal="left"/>
    </xf>
    <xf numFmtId="0" fontId="0" fillId="0" borderId="53" xfId="0" applyBorder="1"/>
    <xf numFmtId="0" fontId="0" fillId="44" borderId="53" xfId="0" applyFill="1" applyBorder="1" applyAlignment="1">
      <alignment horizontal="center" vertical="center"/>
    </xf>
    <xf numFmtId="0" fontId="0" fillId="46" borderId="53" xfId="0" applyFill="1" applyBorder="1" applyAlignment="1">
      <alignment horizontal="left"/>
    </xf>
    <xf numFmtId="0" fontId="0" fillId="0" borderId="53" xfId="0" applyBorder="1" applyAlignment="1">
      <alignment horizontal="center" vertical="center"/>
    </xf>
    <xf numFmtId="0" fontId="0" fillId="44" borderId="53" xfId="0" applyFill="1" applyBorder="1"/>
    <xf numFmtId="0" fontId="0" fillId="41" borderId="53" xfId="0" applyFill="1" applyBorder="1" applyAlignment="1">
      <alignment horizontal="center" vertical="center"/>
    </xf>
    <xf numFmtId="0" fontId="0" fillId="41" borderId="53" xfId="0" applyFill="1" applyBorder="1"/>
    <xf numFmtId="0" fontId="0" fillId="46" borderId="53" xfId="0" applyFill="1" applyBorder="1" applyAlignment="1">
      <alignment horizontal="center" vertical="center"/>
    </xf>
    <xf numFmtId="0" fontId="0" fillId="44" borderId="53" xfId="0" applyFill="1" applyBorder="1" applyAlignment="1">
      <alignment horizontal="left" vertical="center"/>
    </xf>
    <xf numFmtId="0" fontId="0" fillId="49" borderId="58" xfId="0" applyFill="1" applyBorder="1"/>
    <xf numFmtId="0" fontId="0" fillId="49" borderId="53" xfId="0" applyFill="1" applyBorder="1"/>
    <xf numFmtId="0" fontId="71" fillId="0" borderId="121" xfId="0" applyFont="1" applyBorder="1" applyAlignment="1">
      <alignment horizontal="right" vertical="center" wrapText="1"/>
    </xf>
    <xf numFmtId="0" fontId="71" fillId="0" borderId="122" xfId="0" applyFont="1" applyBorder="1" applyAlignment="1">
      <alignment horizontal="right" vertical="center" wrapText="1"/>
    </xf>
    <xf numFmtId="0" fontId="71" fillId="0" borderId="119" xfId="0" applyFont="1" applyBorder="1" applyAlignment="1">
      <alignment horizontal="right" vertical="center" wrapText="1"/>
    </xf>
    <xf numFmtId="0" fontId="52" fillId="0" borderId="98" xfId="0" applyFont="1" applyBorder="1" applyAlignment="1">
      <alignment horizontal="right"/>
    </xf>
    <xf numFmtId="0" fontId="52" fillId="0" borderId="38" xfId="0" applyFont="1" applyBorder="1" applyAlignment="1">
      <alignment horizontal="right"/>
    </xf>
    <xf numFmtId="0" fontId="52" fillId="0" borderId="58" xfId="0" applyFont="1" applyBorder="1" applyAlignment="1">
      <alignment horizontal="right"/>
    </xf>
    <xf numFmtId="9" fontId="31" fillId="0" borderId="121" xfId="0" applyNumberFormat="1" applyFont="1" applyFill="1" applyBorder="1" applyAlignment="1">
      <alignment horizontal="center" vertical="center"/>
    </xf>
    <xf numFmtId="9" fontId="31" fillId="0" borderId="119" xfId="0" applyNumberFormat="1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51" fillId="0" borderId="98" xfId="0" applyFont="1" applyFill="1" applyBorder="1" applyAlignment="1">
      <alignment horizontal="left" vertical="center"/>
    </xf>
    <xf numFmtId="0" fontId="51" fillId="0" borderId="58" xfId="0" applyFont="1" applyFill="1" applyBorder="1" applyAlignment="1">
      <alignment horizontal="left" vertical="center"/>
    </xf>
    <xf numFmtId="0" fontId="68" fillId="54" borderId="117" xfId="0" applyFont="1" applyFill="1" applyBorder="1" applyAlignment="1">
      <alignment horizontal="center" wrapText="1"/>
    </xf>
    <xf numFmtId="0" fontId="68" fillId="54" borderId="116" xfId="0" applyFont="1" applyFill="1" applyBorder="1" applyAlignment="1">
      <alignment horizontal="center" wrapText="1"/>
    </xf>
    <xf numFmtId="9" fontId="74" fillId="0" borderId="121" xfId="0" applyNumberFormat="1" applyFont="1" applyFill="1" applyBorder="1" applyAlignment="1">
      <alignment horizontal="center" vertical="center"/>
    </xf>
    <xf numFmtId="9" fontId="74" fillId="0" borderId="1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4" borderId="12" xfId="0" applyFill="1" applyBorder="1" applyAlignment="1">
      <alignment horizontal="center" vertical="center"/>
    </xf>
    <xf numFmtId="0" fontId="0" fillId="44" borderId="45" xfId="0" applyFill="1" applyBorder="1" applyAlignment="1">
      <alignment horizontal="center" vertical="center"/>
    </xf>
    <xf numFmtId="0" fontId="0" fillId="44" borderId="39" xfId="0" applyFill="1" applyBorder="1" applyAlignment="1">
      <alignment horizontal="center" vertical="center"/>
    </xf>
    <xf numFmtId="0" fontId="0" fillId="44" borderId="40" xfId="0" applyFill="1" applyBorder="1" applyAlignment="1">
      <alignment horizontal="center" vertical="center"/>
    </xf>
    <xf numFmtId="0" fontId="0" fillId="44" borderId="41" xfId="0" applyFill="1" applyBorder="1" applyAlignment="1">
      <alignment horizontal="center" vertical="center"/>
    </xf>
    <xf numFmtId="0" fontId="0" fillId="44" borderId="11" xfId="0" applyFill="1" applyBorder="1" applyAlignment="1">
      <alignment horizontal="center" vertical="center"/>
    </xf>
    <xf numFmtId="0" fontId="0" fillId="45" borderId="45" xfId="0" applyFill="1" applyBorder="1" applyAlignment="1">
      <alignment horizontal="center" vertical="center"/>
    </xf>
    <xf numFmtId="0" fontId="0" fillId="45" borderId="40" xfId="0" applyFill="1" applyBorder="1" applyAlignment="1">
      <alignment horizontal="center" vertical="center"/>
    </xf>
    <xf numFmtId="0" fontId="0" fillId="45" borderId="11" xfId="0" applyFill="1" applyBorder="1" applyAlignment="1">
      <alignment horizontal="center" vertical="center"/>
    </xf>
    <xf numFmtId="0" fontId="0" fillId="45" borderId="70" xfId="0" applyFill="1" applyBorder="1" applyAlignment="1">
      <alignment horizontal="center" vertical="center"/>
    </xf>
    <xf numFmtId="0" fontId="0" fillId="45" borderId="68" xfId="0" applyFill="1" applyBorder="1" applyAlignment="1">
      <alignment horizontal="center" vertical="center"/>
    </xf>
    <xf numFmtId="0" fontId="0" fillId="45" borderId="69" xfId="0" applyFill="1" applyBorder="1" applyAlignment="1">
      <alignment horizontal="center" vertical="center"/>
    </xf>
    <xf numFmtId="0" fontId="0" fillId="0" borderId="48" xfId="0" applyBorder="1"/>
    <xf numFmtId="0" fontId="0" fillId="0" borderId="46" xfId="0" applyBorder="1"/>
    <xf numFmtId="0" fontId="0" fillId="39" borderId="47" xfId="0" applyFill="1" applyBorder="1"/>
    <xf numFmtId="0" fontId="0" fillId="39" borderId="48" xfId="0" applyFill="1" applyBorder="1"/>
    <xf numFmtId="0" fontId="0" fillId="39" borderId="46" xfId="0" applyFill="1" applyBorder="1"/>
    <xf numFmtId="0" fontId="0" fillId="49" borderId="47" xfId="0" applyFill="1" applyBorder="1"/>
    <xf numFmtId="0" fontId="0" fillId="49" borderId="48" xfId="0" applyFill="1" applyBorder="1"/>
    <xf numFmtId="0" fontId="0" fillId="49" borderId="46" xfId="0" applyFill="1" applyBorder="1"/>
    <xf numFmtId="0" fontId="0" fillId="44" borderId="70" xfId="0" applyFill="1" applyBorder="1" applyAlignment="1">
      <alignment horizontal="center" vertical="center"/>
    </xf>
    <xf numFmtId="0" fontId="0" fillId="44" borderId="68" xfId="0" applyFill="1" applyBorder="1" applyAlignment="1">
      <alignment horizontal="center" vertical="center"/>
    </xf>
    <xf numFmtId="0" fontId="0" fillId="44" borderId="69" xfId="0" applyFill="1" applyBorder="1" applyAlignment="1">
      <alignment horizontal="center" vertical="center"/>
    </xf>
    <xf numFmtId="0" fontId="46" fillId="51" borderId="44" xfId="0" applyFont="1" applyFill="1" applyBorder="1" applyAlignment="1">
      <alignment horizontal="center" vertical="center" wrapText="1"/>
    </xf>
    <xf numFmtId="0" fontId="46" fillId="51" borderId="0" xfId="0" applyFont="1" applyFill="1" applyBorder="1" applyAlignment="1">
      <alignment horizontal="center" vertical="center" wrapText="1"/>
    </xf>
    <xf numFmtId="0" fontId="46" fillId="51" borderId="42" xfId="0" applyFont="1" applyFill="1" applyBorder="1" applyAlignment="1">
      <alignment horizontal="center" vertical="center" wrapText="1"/>
    </xf>
    <xf numFmtId="0" fontId="44" fillId="55" borderId="44" xfId="0" applyFont="1" applyFill="1" applyBorder="1" applyAlignment="1">
      <alignment horizontal="center" vertical="center" wrapText="1"/>
    </xf>
    <xf numFmtId="0" fontId="44" fillId="55" borderId="0" xfId="0" applyFont="1" applyFill="1" applyBorder="1" applyAlignment="1">
      <alignment horizontal="center" vertical="center" wrapText="1"/>
    </xf>
    <xf numFmtId="0" fontId="44" fillId="55" borderId="42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32" fillId="54" borderId="53" xfId="0" applyFont="1" applyFill="1" applyBorder="1" applyAlignment="1">
      <alignment horizontal="center" wrapText="1"/>
    </xf>
    <xf numFmtId="0" fontId="32" fillId="54" borderId="78" xfId="0" applyFont="1" applyFill="1" applyBorder="1" applyAlignment="1">
      <alignment horizontal="center" wrapText="1"/>
    </xf>
    <xf numFmtId="0" fontId="32" fillId="54" borderId="79" xfId="0" applyFont="1" applyFill="1" applyBorder="1" applyAlignment="1">
      <alignment horizontal="center" wrapText="1"/>
    </xf>
    <xf numFmtId="0" fontId="93" fillId="0" borderId="53" xfId="0" applyFont="1" applyBorder="1" applyAlignment="1">
      <alignment horizontal="center" wrapText="1"/>
    </xf>
    <xf numFmtId="0" fontId="19" fillId="0" borderId="5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49" xfId="0" applyFont="1" applyBorder="1" applyAlignment="1">
      <alignment horizontal="center" vertical="top" wrapText="1"/>
    </xf>
    <xf numFmtId="0" fontId="19" fillId="0" borderId="50" xfId="0" applyFont="1" applyBorder="1" applyAlignment="1">
      <alignment horizontal="center" vertical="top" wrapText="1"/>
    </xf>
    <xf numFmtId="0" fontId="0" fillId="45" borderId="43" xfId="0" applyFill="1" applyBorder="1" applyAlignment="1">
      <alignment horizontal="center" vertical="center"/>
    </xf>
    <xf numFmtId="0" fontId="0" fillId="46" borderId="4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7" xfId="0" applyBorder="1"/>
    <xf numFmtId="0" fontId="0" fillId="0" borderId="7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8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45" borderId="39" xfId="0" applyFill="1" applyBorder="1" applyAlignment="1">
      <alignment horizontal="center" vertical="center"/>
    </xf>
    <xf numFmtId="0" fontId="0" fillId="45" borderId="103" xfId="0" applyFill="1" applyBorder="1" applyAlignment="1">
      <alignment horizontal="center" vertical="center"/>
    </xf>
    <xf numFmtId="0" fontId="0" fillId="0" borderId="53" xfId="0" applyBorder="1" applyAlignment="1"/>
    <xf numFmtId="0" fontId="0" fillId="44" borderId="43" xfId="0" applyFill="1" applyBorder="1" applyAlignment="1">
      <alignment horizontal="center" vertical="center"/>
    </xf>
    <xf numFmtId="0" fontId="0" fillId="44" borderId="47" xfId="0" applyFill="1" applyBorder="1"/>
    <xf numFmtId="0" fontId="0" fillId="44" borderId="48" xfId="0" applyFill="1" applyBorder="1"/>
    <xf numFmtId="0" fontId="0" fillId="41" borderId="43" xfId="0" applyFill="1" applyBorder="1" applyAlignment="1">
      <alignment horizontal="center" vertical="center"/>
    </xf>
    <xf numFmtId="0" fontId="0" fillId="41" borderId="47" xfId="0" applyFill="1" applyBorder="1"/>
    <xf numFmtId="0" fontId="0" fillId="41" borderId="48" xfId="0" applyFill="1" applyBorder="1"/>
    <xf numFmtId="0" fontId="0" fillId="44" borderId="109" xfId="0" applyFill="1" applyBorder="1" applyAlignment="1">
      <alignment horizontal="center" vertical="center"/>
    </xf>
    <xf numFmtId="0" fontId="0" fillId="41" borderId="46" xfId="0" applyFill="1" applyBorder="1"/>
    <xf numFmtId="0" fontId="0" fillId="0" borderId="43" xfId="0" applyBorder="1" applyAlignment="1">
      <alignment horizontal="left"/>
    </xf>
    <xf numFmtId="0" fontId="0" fillId="44" borderId="46" xfId="0" applyFill="1" applyBorder="1"/>
    <xf numFmtId="0" fontId="0" fillId="0" borderId="151" xfId="0" applyBorder="1" applyAlignment="1">
      <alignment horizontal="left" wrapText="1"/>
    </xf>
    <xf numFmtId="0" fontId="0" fillId="0" borderId="15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54" xfId="0" applyBorder="1" applyAlignment="1">
      <alignment horizontal="left" wrapText="1"/>
    </xf>
    <xf numFmtId="0" fontId="0" fillId="0" borderId="156" xfId="0" applyBorder="1" applyAlignment="1">
      <alignment horizontal="left" wrapText="1"/>
    </xf>
    <xf numFmtId="0" fontId="0" fillId="0" borderId="157" xfId="0" applyBorder="1" applyAlignment="1">
      <alignment horizontal="left" wrapText="1"/>
    </xf>
    <xf numFmtId="0" fontId="34" fillId="0" borderId="101" xfId="0" applyFont="1" applyBorder="1" applyAlignment="1">
      <alignment vertical="center"/>
    </xf>
    <xf numFmtId="0" fontId="0" fillId="0" borderId="53" xfId="0" applyBorder="1" applyAlignment="1">
      <alignment horizontal="left" vertical="center"/>
    </xf>
    <xf numFmtId="3" fontId="37" fillId="0" borderId="53" xfId="0" applyNumberFormat="1" applyFont="1" applyFill="1" applyBorder="1" applyAlignment="1">
      <alignment horizontal="center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4" fillId="34" borderId="0" xfId="0" applyFont="1" applyFill="1" applyAlignment="1">
      <alignment vertical="center" wrapText="1"/>
    </xf>
    <xf numFmtId="0" fontId="22" fillId="33" borderId="32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right" vertical="center" wrapText="1"/>
    </xf>
    <xf numFmtId="0" fontId="22" fillId="33" borderId="31" xfId="0" applyFont="1" applyFill="1" applyBorder="1" applyAlignment="1">
      <alignment horizontal="right" vertical="center" wrapText="1"/>
    </xf>
    <xf numFmtId="0" fontId="22" fillId="33" borderId="36" xfId="0" applyFont="1" applyFill="1" applyBorder="1" applyAlignment="1">
      <alignment horizontal="center" vertical="center" wrapText="1"/>
    </xf>
    <xf numFmtId="0" fontId="22" fillId="33" borderId="37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89" fillId="59" borderId="0" xfId="0" applyFont="1" applyFill="1" applyAlignment="1">
      <alignment horizontal="center" vertical="top" wrapText="1"/>
    </xf>
    <xf numFmtId="0" fontId="89" fillId="59" borderId="49" xfId="0" applyFont="1" applyFill="1" applyBorder="1" applyAlignment="1">
      <alignment horizontal="center" vertical="top" wrapText="1"/>
    </xf>
    <xf numFmtId="0" fontId="89" fillId="59" borderId="50" xfId="0" applyFont="1" applyFill="1" applyBorder="1" applyAlignment="1">
      <alignment horizontal="center" vertical="top" wrapText="1"/>
    </xf>
    <xf numFmtId="0" fontId="89" fillId="59" borderId="5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wrapText="1"/>
    </xf>
    <xf numFmtId="0" fontId="0" fillId="0" borderId="154" xfId="0" applyBorder="1" applyAlignment="1">
      <alignment horizontal="center" wrapText="1"/>
    </xf>
    <xf numFmtId="0" fontId="0" fillId="0" borderId="156" xfId="0" applyBorder="1" applyAlignment="1">
      <alignment horizontal="center" wrapText="1"/>
    </xf>
    <xf numFmtId="0" fontId="0" fillId="0" borderId="157" xfId="0" applyBorder="1" applyAlignment="1">
      <alignment horizontal="center" wrapText="1"/>
    </xf>
    <xf numFmtId="0" fontId="89" fillId="59" borderId="0" xfId="0" applyFont="1" applyFill="1" applyBorder="1" applyAlignment="1">
      <alignment horizontal="center" vertical="top" wrapText="1"/>
    </xf>
    <xf numFmtId="0" fontId="19" fillId="47" borderId="0" xfId="0" applyFont="1" applyFill="1" applyAlignment="1">
      <alignment horizontal="center" vertical="top" wrapText="1"/>
    </xf>
    <xf numFmtId="0" fontId="19" fillId="46" borderId="49" xfId="0" applyFont="1" applyFill="1" applyBorder="1" applyAlignment="1">
      <alignment horizontal="center" vertical="top" wrapText="1"/>
    </xf>
    <xf numFmtId="0" fontId="19" fillId="46" borderId="50" xfId="0" applyFont="1" applyFill="1" applyBorder="1" applyAlignment="1">
      <alignment horizontal="center" vertical="top" wrapText="1"/>
    </xf>
    <xf numFmtId="0" fontId="19" fillId="46" borderId="51" xfId="0" applyFont="1" applyFill="1" applyBorder="1" applyAlignment="1">
      <alignment horizontal="center" vertical="top" wrapText="1"/>
    </xf>
    <xf numFmtId="0" fontId="19" fillId="46" borderId="0" xfId="0" applyFont="1" applyFill="1" applyBorder="1" applyAlignment="1">
      <alignment horizontal="center" vertical="top" wrapText="1"/>
    </xf>
    <xf numFmtId="0" fontId="65" fillId="0" borderId="0" xfId="44" applyFont="1" applyAlignment="1">
      <alignment vertical="center" wrapText="1"/>
    </xf>
    <xf numFmtId="0" fontId="16" fillId="66" borderId="0" xfId="0" applyFont="1" applyFill="1" applyBorder="1" applyAlignment="1">
      <alignment horizontal="center"/>
    </xf>
    <xf numFmtId="0" fontId="108" fillId="36" borderId="0" xfId="0" applyFont="1" applyFill="1" applyBorder="1" applyAlignment="1">
      <alignment horizontal="center" vertical="top" wrapText="1"/>
    </xf>
    <xf numFmtId="0" fontId="108" fillId="36" borderId="108" xfId="0" applyFont="1" applyFill="1" applyBorder="1" applyAlignment="1">
      <alignment horizontal="center" vertical="top" wrapText="1"/>
    </xf>
    <xf numFmtId="0" fontId="59" fillId="0" borderId="70" xfId="0" applyFont="1" applyBorder="1" applyAlignment="1">
      <alignment horizontal="center" vertical="center"/>
    </xf>
    <xf numFmtId="0" fontId="59" fillId="0" borderId="68" xfId="0" applyFont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19" fillId="35" borderId="49" xfId="0" applyFont="1" applyFill="1" applyBorder="1" applyAlignment="1">
      <alignment horizontal="center" vertical="top" wrapText="1"/>
    </xf>
    <xf numFmtId="0" fontId="19" fillId="35" borderId="50" xfId="0" applyFont="1" applyFill="1" applyBorder="1" applyAlignment="1">
      <alignment horizontal="center" vertical="top" wrapText="1"/>
    </xf>
    <xf numFmtId="0" fontId="19" fillId="35" borderId="51" xfId="0" applyFont="1" applyFill="1" applyBorder="1" applyAlignment="1">
      <alignment horizontal="center" vertical="top" wrapText="1"/>
    </xf>
    <xf numFmtId="0" fontId="19" fillId="35" borderId="0" xfId="0" applyFont="1" applyFill="1" applyBorder="1" applyAlignment="1">
      <alignment horizontal="center" vertical="top" wrapText="1"/>
    </xf>
    <xf numFmtId="0" fontId="19" fillId="35" borderId="0" xfId="0" applyFont="1" applyFill="1" applyAlignment="1">
      <alignment horizontal="center" vertical="top" wrapText="1"/>
    </xf>
    <xf numFmtId="0" fontId="0" fillId="35" borderId="53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0" fillId="35" borderId="0" xfId="0" applyFill="1" applyAlignment="1">
      <alignment horizontal="center"/>
    </xf>
    <xf numFmtId="0" fontId="0" fillId="35" borderId="53" xfId="0" applyFill="1" applyBorder="1" applyAlignment="1">
      <alignment horizontal="left" vertical="center"/>
    </xf>
    <xf numFmtId="0" fontId="0" fillId="35" borderId="53" xfId="0" applyFill="1" applyBorder="1" applyAlignment="1">
      <alignment vertical="center"/>
    </xf>
    <xf numFmtId="0" fontId="128" fillId="35" borderId="0" xfId="0" applyFont="1" applyFill="1" applyAlignment="1">
      <alignment horizontal="left" vertical="center"/>
    </xf>
    <xf numFmtId="0" fontId="34" fillId="0" borderId="100" xfId="0" applyFont="1" applyBorder="1" applyAlignment="1">
      <alignment horizontal="left" vertical="center"/>
    </xf>
    <xf numFmtId="0" fontId="34" fillId="0" borderId="56" xfId="0" applyFont="1" applyBorder="1" applyAlignment="1">
      <alignment horizontal="left" vertical="center"/>
    </xf>
    <xf numFmtId="0" fontId="0" fillId="0" borderId="7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32" fillId="54" borderId="123" xfId="0" applyFont="1" applyFill="1" applyBorder="1" applyAlignment="1">
      <alignment horizontal="center" vertical="center" wrapText="1"/>
    </xf>
    <xf numFmtId="0" fontId="32" fillId="54" borderId="108" xfId="0" applyFont="1" applyFill="1" applyBorder="1" applyAlignment="1">
      <alignment horizontal="center" vertical="center" wrapText="1"/>
    </xf>
    <xf numFmtId="0" fontId="34" fillId="0" borderId="100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0" fillId="0" borderId="108" xfId="0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34" fillId="0" borderId="72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10" xfId="0" applyFont="1" applyBorder="1" applyAlignment="1">
      <alignment horizontal="center" vertical="center"/>
    </xf>
    <xf numFmtId="0" fontId="34" fillId="0" borderId="121" xfId="0" applyFont="1" applyBorder="1" applyAlignment="1">
      <alignment horizontal="center" vertical="center" wrapText="1"/>
    </xf>
    <xf numFmtId="0" fontId="34" fillId="0" borderId="122" xfId="0" applyFont="1" applyBorder="1" applyAlignment="1">
      <alignment horizontal="center" vertical="center" wrapText="1"/>
    </xf>
    <xf numFmtId="0" fontId="34" fillId="0" borderId="119" xfId="0" applyFont="1" applyBorder="1" applyAlignment="1">
      <alignment horizontal="center" vertical="center" wrapText="1"/>
    </xf>
    <xf numFmtId="9" fontId="73" fillId="0" borderId="122" xfId="0" applyNumberFormat="1" applyFont="1" applyFill="1" applyBorder="1" applyAlignment="1">
      <alignment horizontal="center" vertical="center"/>
    </xf>
    <xf numFmtId="9" fontId="73" fillId="0" borderId="119" xfId="0" applyNumberFormat="1" applyFont="1" applyFill="1" applyBorder="1" applyAlignment="1">
      <alignment horizontal="center" vertical="center"/>
    </xf>
    <xf numFmtId="0" fontId="0" fillId="44" borderId="39" xfId="0" applyFill="1" applyBorder="1" applyAlignment="1">
      <alignment horizontal="left" vertical="center"/>
    </xf>
    <xf numFmtId="9" fontId="0" fillId="44" borderId="40" xfId="0" applyNumberFormat="1" applyFill="1" applyBorder="1" applyAlignment="1">
      <alignment horizontal="center" vertical="center"/>
    </xf>
    <xf numFmtId="0" fontId="0" fillId="45" borderId="0" xfId="0" applyFill="1" applyBorder="1" applyAlignment="1">
      <alignment horizontal="center" vertical="center"/>
    </xf>
    <xf numFmtId="0" fontId="0" fillId="45" borderId="41" xfId="0" applyFill="1" applyBorder="1" applyAlignment="1">
      <alignment horizontal="center" vertical="center"/>
    </xf>
    <xf numFmtId="0" fontId="0" fillId="45" borderId="42" xfId="0" applyFill="1" applyBorder="1" applyAlignment="1">
      <alignment horizontal="center" vertical="center"/>
    </xf>
    <xf numFmtId="0" fontId="0" fillId="45" borderId="39" xfId="0" applyFill="1" applyBorder="1" applyAlignment="1">
      <alignment horizontal="left" vertical="center"/>
    </xf>
    <xf numFmtId="9" fontId="0" fillId="45" borderId="40" xfId="0" applyNumberForma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9" fontId="0" fillId="0" borderId="78" xfId="0" applyNumberFormat="1" applyFill="1" applyBorder="1" applyAlignment="1">
      <alignment horizontal="center" vertical="center"/>
    </xf>
    <xf numFmtId="9" fontId="0" fillId="0" borderId="71" xfId="0" applyNumberFormat="1" applyFill="1" applyBorder="1" applyAlignment="1">
      <alignment horizontal="center" vertical="center"/>
    </xf>
    <xf numFmtId="9" fontId="0" fillId="0" borderId="79" xfId="0" applyNumberFormat="1" applyFill="1" applyBorder="1" applyAlignment="1">
      <alignment horizontal="center" vertical="center"/>
    </xf>
    <xf numFmtId="0" fontId="51" fillId="0" borderId="53" xfId="0" applyFont="1" applyFill="1" applyBorder="1" applyAlignment="1">
      <alignment horizontal="center" vertical="center"/>
    </xf>
    <xf numFmtId="0" fontId="55" fillId="0" borderId="72" xfId="0" applyFont="1" applyBorder="1" applyAlignment="1">
      <alignment vertical="center" wrapText="1"/>
    </xf>
    <xf numFmtId="0" fontId="34" fillId="0" borderId="101" xfId="0" applyFont="1" applyBorder="1" applyAlignment="1">
      <alignment horizontal="left" vertical="center"/>
    </xf>
    <xf numFmtId="9" fontId="0" fillId="44" borderId="44" xfId="42" applyFont="1" applyFill="1" applyBorder="1" applyAlignment="1">
      <alignment horizontal="center" vertical="center"/>
    </xf>
    <xf numFmtId="9" fontId="0" fillId="44" borderId="0" xfId="42" applyFont="1" applyFill="1" applyBorder="1" applyAlignment="1">
      <alignment horizontal="center" vertical="center"/>
    </xf>
    <xf numFmtId="0" fontId="0" fillId="44" borderId="12" xfId="0" applyFill="1" applyBorder="1" applyAlignment="1">
      <alignment horizontal="left" vertical="center"/>
    </xf>
    <xf numFmtId="0" fontId="0" fillId="44" borderId="41" xfId="0" applyFill="1" applyBorder="1" applyAlignment="1">
      <alignment horizontal="left" vertical="center"/>
    </xf>
    <xf numFmtId="9" fontId="0" fillId="44" borderId="11" xfId="0" applyNumberFormat="1" applyFill="1" applyBorder="1" applyAlignment="1">
      <alignment horizontal="center" vertical="center"/>
    </xf>
    <xf numFmtId="0" fontId="0" fillId="44" borderId="70" xfId="0" applyFill="1" applyBorder="1" applyAlignment="1">
      <alignment horizontal="left" vertical="top"/>
    </xf>
    <xf numFmtId="0" fontId="0" fillId="44" borderId="68" xfId="0" applyFill="1" applyBorder="1" applyAlignment="1">
      <alignment horizontal="left" vertical="top"/>
    </xf>
    <xf numFmtId="0" fontId="0" fillId="44" borderId="69" xfId="0" applyFill="1" applyBorder="1" applyAlignment="1">
      <alignment horizontal="left" vertical="top"/>
    </xf>
  </cellXfs>
  <cellStyles count="87">
    <cellStyle name="20% - Accent1" xfId="19" builtinId="30" customBuiltin="1"/>
    <cellStyle name="20% - Accent1 2" xfId="46"/>
    <cellStyle name="20% - Accent2" xfId="23" builtinId="34" customBuiltin="1"/>
    <cellStyle name="20% - Accent2 2" xfId="47"/>
    <cellStyle name="20% - Accent3" xfId="27" builtinId="38" customBuiltin="1"/>
    <cellStyle name="20% - Accent3 2" xfId="48"/>
    <cellStyle name="20% - Accent4" xfId="31" builtinId="42" customBuiltin="1"/>
    <cellStyle name="20% - Accent4 2" xfId="49"/>
    <cellStyle name="20% - Accent5" xfId="35" builtinId="46" customBuiltin="1"/>
    <cellStyle name="20% - Accent5 2" xfId="50"/>
    <cellStyle name="20% - Accent6" xfId="39" builtinId="50" customBuiltin="1"/>
    <cellStyle name="20% - Accent6 2" xfId="51"/>
    <cellStyle name="40% - Accent1" xfId="20" builtinId="31" customBuiltin="1"/>
    <cellStyle name="40% - Accent1 2" xfId="52"/>
    <cellStyle name="40% - Accent2" xfId="24" builtinId="35" customBuiltin="1"/>
    <cellStyle name="40% - Accent2 2" xfId="53"/>
    <cellStyle name="40% - Accent3" xfId="28" builtinId="39" customBuiltin="1"/>
    <cellStyle name="40% - Accent3 2" xfId="54"/>
    <cellStyle name="40% - Accent4" xfId="32" builtinId="43" customBuiltin="1"/>
    <cellStyle name="40% - Accent4 2" xfId="55"/>
    <cellStyle name="40% - Accent5" xfId="36" builtinId="47" customBuiltin="1"/>
    <cellStyle name="40% - Accent5 2" xfId="56"/>
    <cellStyle name="40% - Accent6" xfId="40" builtinId="51" customBuiltin="1"/>
    <cellStyle name="40% - Accent6 2" xfId="57"/>
    <cellStyle name="60% - Accent1" xfId="21" builtinId="32" customBuiltin="1"/>
    <cellStyle name="60% - Accent1 2" xfId="58"/>
    <cellStyle name="60% - Accent2" xfId="25" builtinId="36" customBuiltin="1"/>
    <cellStyle name="60% - Accent2 2" xfId="59"/>
    <cellStyle name="60% - Accent3" xfId="29" builtinId="40" customBuiltin="1"/>
    <cellStyle name="60% - Accent3 2" xfId="60"/>
    <cellStyle name="60% - Accent4" xfId="33" builtinId="44" customBuiltin="1"/>
    <cellStyle name="60% - Accent4 2" xfId="61"/>
    <cellStyle name="60% - Accent5" xfId="37" builtinId="48" customBuiltin="1"/>
    <cellStyle name="60% - Accent5 2" xfId="62"/>
    <cellStyle name="60% - Accent6" xfId="41" builtinId="52" customBuiltin="1"/>
    <cellStyle name="60% - Accent6 2" xfId="63"/>
    <cellStyle name="Accent1" xfId="18" builtinId="29" customBuiltin="1"/>
    <cellStyle name="Accent1 2" xfId="64"/>
    <cellStyle name="Accent2" xfId="22" builtinId="33" customBuiltin="1"/>
    <cellStyle name="Accent2 2" xfId="65"/>
    <cellStyle name="Accent3" xfId="26" builtinId="37" customBuiltin="1"/>
    <cellStyle name="Accent3 2" xfId="66"/>
    <cellStyle name="Accent4" xfId="30" builtinId="41" customBuiltin="1"/>
    <cellStyle name="Accent4 2" xfId="67"/>
    <cellStyle name="Accent5" xfId="34" builtinId="45" customBuiltin="1"/>
    <cellStyle name="Accent5 2" xfId="68"/>
    <cellStyle name="Accent6" xfId="38" builtinId="49" customBuiltin="1"/>
    <cellStyle name="Accent6 2" xfId="69"/>
    <cellStyle name="Bad" xfId="7" builtinId="27" customBuiltin="1"/>
    <cellStyle name="Bad 2" xfId="70"/>
    <cellStyle name="Calculation" xfId="11" builtinId="22" customBuiltin="1"/>
    <cellStyle name="Calculation 2" xfId="71"/>
    <cellStyle name="Check Cell" xfId="13" builtinId="23" customBuiltin="1"/>
    <cellStyle name="Check Cell 2" xfId="72"/>
    <cellStyle name="Comma" xfId="43" builtinId="3"/>
    <cellStyle name="Explanatory Text" xfId="16" builtinId="53" customBuiltin="1"/>
    <cellStyle name="Explanatory Text 2" xfId="73"/>
    <cellStyle name="Good" xfId="6" builtinId="26" customBuiltin="1"/>
    <cellStyle name="Good 2" xfId="74"/>
    <cellStyle name="Heading 1" xfId="2" builtinId="16" customBuiltin="1"/>
    <cellStyle name="Heading 1 2" xfId="75"/>
    <cellStyle name="Heading 2" xfId="3" builtinId="17" customBuiltin="1"/>
    <cellStyle name="Heading 2 2" xfId="76"/>
    <cellStyle name="Heading 3" xfId="4" builtinId="18" customBuiltin="1"/>
    <cellStyle name="Heading 3 2" xfId="77"/>
    <cellStyle name="Heading 4" xfId="5" builtinId="19" customBuiltin="1"/>
    <cellStyle name="Heading 4 2" xfId="78"/>
    <cellStyle name="Hyperlink" xfId="86" builtinId="8"/>
    <cellStyle name="Input" xfId="9" builtinId="20" customBuiltin="1"/>
    <cellStyle name="Input 2" xfId="79"/>
    <cellStyle name="Linked Cell" xfId="12" builtinId="24" customBuiltin="1"/>
    <cellStyle name="Linked Cell 2" xfId="80"/>
    <cellStyle name="Neutral" xfId="8" builtinId="28" customBuiltin="1"/>
    <cellStyle name="Neutral 2" xfId="81"/>
    <cellStyle name="Normal" xfId="0" builtinId="0"/>
    <cellStyle name="Normal 2" xfId="44"/>
    <cellStyle name="Note" xfId="15" builtinId="10" customBuiltin="1"/>
    <cellStyle name="Note 2" xfId="82"/>
    <cellStyle name="Output" xfId="10" builtinId="21" customBuiltin="1"/>
    <cellStyle name="Output 2" xfId="83"/>
    <cellStyle name="Percent" xfId="42" builtinId="5"/>
    <cellStyle name="Percent 2" xfId="45"/>
    <cellStyle name="Title" xfId="1" builtinId="15" customBuiltin="1"/>
    <cellStyle name="Total" xfId="17" builtinId="25" customBuiltin="1"/>
    <cellStyle name="Total 2" xfId="84"/>
    <cellStyle name="Warning Text" xfId="14" builtinId="11" customBuiltin="1"/>
    <cellStyle name="Warning Text 2" xfId="85"/>
  </cellStyles>
  <dxfs count="0"/>
  <tableStyles count="0" defaultTableStyle="TableStyleMedium2" defaultPivotStyle="PivotStyleLight16"/>
  <colors>
    <mruColors>
      <color rgb="FF0035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20</xdr:row>
      <xdr:rowOff>0</xdr:rowOff>
    </xdr:from>
    <xdr:to>
      <xdr:col>5</xdr:col>
      <xdr:colOff>0</xdr:colOff>
      <xdr:row>26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7820025"/>
          <a:ext cx="2857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1419225</xdr:colOff>
      <xdr:row>34</xdr:row>
      <xdr:rowOff>142875</xdr:rowOff>
    </xdr:from>
    <xdr:to>
      <xdr:col>1</xdr:col>
      <xdr:colOff>1447800</xdr:colOff>
      <xdr:row>53</xdr:row>
      <xdr:rowOff>19050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8086725"/>
          <a:ext cx="2857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714375</xdr:colOff>
      <xdr:row>33</xdr:row>
      <xdr:rowOff>142875</xdr:rowOff>
    </xdr:from>
    <xdr:to>
      <xdr:col>4</xdr:col>
      <xdr:colOff>19050</xdr:colOff>
      <xdr:row>52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058150"/>
          <a:ext cx="2857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9</xdr:row>
      <xdr:rowOff>190500</xdr:rowOff>
    </xdr:from>
    <xdr:to>
      <xdr:col>6</xdr:col>
      <xdr:colOff>28575</xdr:colOff>
      <xdr:row>26</xdr:row>
      <xdr:rowOff>438150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2867025"/>
          <a:ext cx="2857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714375</xdr:colOff>
      <xdr:row>9</xdr:row>
      <xdr:rowOff>323850</xdr:rowOff>
    </xdr:from>
    <xdr:to>
      <xdr:col>5</xdr:col>
      <xdr:colOff>19050</xdr:colOff>
      <xdr:row>26</xdr:row>
      <xdr:rowOff>438150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000375"/>
          <a:ext cx="2857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CPUC%20-%202010-2012%20EM&amp;V/1_WO%20Folders/KEMA035%20-%20Impact%20-%20Appliance%20Recycling/Second-hand%20Market%20Characterization/Interview%20Results/1.%20Incoming-Outgoing%20Volumes%20by%20Market%20Actor%20on%20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pinc/Documents/CommunicatorReceivedFiles/5.%20Private%20Channel%20Volu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s_TO_Destinations"/>
      <sheetName val="Rounded Sankey Inputs"/>
      <sheetName val="Sankey Inputs"/>
      <sheetName val="Used Market Flow Table"/>
      <sheetName val="Used Market Flow Calcs"/>
      <sheetName val="Variable Name List"/>
      <sheetName val="IN_OUT Tables"/>
      <sheetName val="Dispositions"/>
      <sheetName val="Response CIs"/>
      <sheetName val="Market Actor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5">
          <cell r="K115">
            <v>0.74414509730509082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ondary Mkt Size"/>
      <sheetName val="Census to IOU"/>
    </sheetNames>
    <sheetDataSet>
      <sheetData sheetId="0">
        <row r="4">
          <cell r="D4">
            <v>2.8008361839604712</v>
          </cell>
        </row>
        <row r="11">
          <cell r="C11">
            <v>143000</v>
          </cell>
        </row>
        <row r="14">
          <cell r="C14">
            <v>64318</v>
          </cell>
        </row>
        <row r="17">
          <cell r="C17">
            <v>218051.51328671328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rpinc/Documents/CPUC%2010-12%20EMV/Appliance%20Recycling/Task%203.1%20Participant%20surveys/PartSurveyFinalDisposition_Precisio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garet Pinckard" refreshedDate="41720.869683564815" createdVersion="4" refreshedVersion="4" minRefreshableVersion="3" recordCount="1102">
  <cacheSource type="worksheet">
    <worksheetSource ref="D1:D1103" sheet="Part Survey Results" r:id="rId2"/>
  </cacheSource>
  <cacheFields count="1">
    <cacheField name="CATISTRATA" numFmtId="0">
      <sharedItems count="36">
        <s v="SDGE204"/>
        <s v="PGE101"/>
        <s v="SCE103"/>
        <s v="PGE102"/>
        <s v="SDGE104"/>
        <s v="SCE101"/>
        <s v="SDGE103"/>
        <s v="SDGE304"/>
        <s v="SCE301"/>
        <s v="SCE102"/>
        <s v="PGE202"/>
        <s v="SDGE102"/>
        <s v="PGE303"/>
        <s v="PGE103"/>
        <s v="SCE303"/>
        <s v="SCE203"/>
        <s v="SCE104"/>
        <s v="SCE302"/>
        <s v="SCE201"/>
        <s v="PGE104"/>
        <s v="PGE201"/>
        <s v="PGE301"/>
        <s v="PGE204"/>
        <s v="SDGE301"/>
        <s v="SDGE202"/>
        <s v="PGE304"/>
        <s v="PGE302"/>
        <s v="SCE202"/>
        <s v="SCE204"/>
        <s v="SDGE201"/>
        <s v="SDGE203"/>
        <s v="SDGE303"/>
        <s v="PGE203"/>
        <s v="SDGE302"/>
        <s v="SCE304"/>
        <s v="SDGE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2">
  <r>
    <x v="0"/>
  </r>
  <r>
    <x v="1"/>
  </r>
  <r>
    <x v="2"/>
  </r>
  <r>
    <x v="3"/>
  </r>
  <r>
    <x v="4"/>
  </r>
  <r>
    <x v="5"/>
  </r>
  <r>
    <x v="2"/>
  </r>
  <r>
    <x v="3"/>
  </r>
  <r>
    <x v="6"/>
  </r>
  <r>
    <x v="7"/>
  </r>
  <r>
    <x v="3"/>
  </r>
  <r>
    <x v="8"/>
  </r>
  <r>
    <x v="9"/>
  </r>
  <r>
    <x v="9"/>
  </r>
  <r>
    <x v="4"/>
  </r>
  <r>
    <x v="3"/>
  </r>
  <r>
    <x v="9"/>
  </r>
  <r>
    <x v="9"/>
  </r>
  <r>
    <x v="10"/>
  </r>
  <r>
    <x v="5"/>
  </r>
  <r>
    <x v="3"/>
  </r>
  <r>
    <x v="11"/>
  </r>
  <r>
    <x v="2"/>
  </r>
  <r>
    <x v="2"/>
  </r>
  <r>
    <x v="12"/>
  </r>
  <r>
    <x v="6"/>
  </r>
  <r>
    <x v="13"/>
  </r>
  <r>
    <x v="8"/>
  </r>
  <r>
    <x v="1"/>
  </r>
  <r>
    <x v="0"/>
  </r>
  <r>
    <x v="2"/>
  </r>
  <r>
    <x v="6"/>
  </r>
  <r>
    <x v="5"/>
  </r>
  <r>
    <x v="5"/>
  </r>
  <r>
    <x v="9"/>
  </r>
  <r>
    <x v="9"/>
  </r>
  <r>
    <x v="2"/>
  </r>
  <r>
    <x v="2"/>
  </r>
  <r>
    <x v="3"/>
  </r>
  <r>
    <x v="14"/>
  </r>
  <r>
    <x v="8"/>
  </r>
  <r>
    <x v="15"/>
  </r>
  <r>
    <x v="12"/>
  </r>
  <r>
    <x v="13"/>
  </r>
  <r>
    <x v="16"/>
  </r>
  <r>
    <x v="3"/>
  </r>
  <r>
    <x v="17"/>
  </r>
  <r>
    <x v="4"/>
  </r>
  <r>
    <x v="6"/>
  </r>
  <r>
    <x v="0"/>
  </r>
  <r>
    <x v="13"/>
  </r>
  <r>
    <x v="13"/>
  </r>
  <r>
    <x v="10"/>
  </r>
  <r>
    <x v="18"/>
  </r>
  <r>
    <x v="19"/>
  </r>
  <r>
    <x v="2"/>
  </r>
  <r>
    <x v="5"/>
  </r>
  <r>
    <x v="5"/>
  </r>
  <r>
    <x v="5"/>
  </r>
  <r>
    <x v="10"/>
  </r>
  <r>
    <x v="2"/>
  </r>
  <r>
    <x v="2"/>
  </r>
  <r>
    <x v="9"/>
  </r>
  <r>
    <x v="13"/>
  </r>
  <r>
    <x v="2"/>
  </r>
  <r>
    <x v="5"/>
  </r>
  <r>
    <x v="13"/>
  </r>
  <r>
    <x v="3"/>
  </r>
  <r>
    <x v="13"/>
  </r>
  <r>
    <x v="2"/>
  </r>
  <r>
    <x v="18"/>
  </r>
  <r>
    <x v="8"/>
  </r>
  <r>
    <x v="11"/>
  </r>
  <r>
    <x v="8"/>
  </r>
  <r>
    <x v="3"/>
  </r>
  <r>
    <x v="9"/>
  </r>
  <r>
    <x v="2"/>
  </r>
  <r>
    <x v="9"/>
  </r>
  <r>
    <x v="20"/>
  </r>
  <r>
    <x v="2"/>
  </r>
  <r>
    <x v="8"/>
  </r>
  <r>
    <x v="21"/>
  </r>
  <r>
    <x v="4"/>
  </r>
  <r>
    <x v="7"/>
  </r>
  <r>
    <x v="9"/>
  </r>
  <r>
    <x v="2"/>
  </r>
  <r>
    <x v="3"/>
  </r>
  <r>
    <x v="19"/>
  </r>
  <r>
    <x v="5"/>
  </r>
  <r>
    <x v="13"/>
  </r>
  <r>
    <x v="9"/>
  </r>
  <r>
    <x v="3"/>
  </r>
  <r>
    <x v="18"/>
  </r>
  <r>
    <x v="9"/>
  </r>
  <r>
    <x v="22"/>
  </r>
  <r>
    <x v="6"/>
  </r>
  <r>
    <x v="18"/>
  </r>
  <r>
    <x v="5"/>
  </r>
  <r>
    <x v="12"/>
  </r>
  <r>
    <x v="4"/>
  </r>
  <r>
    <x v="15"/>
  </r>
  <r>
    <x v="4"/>
  </r>
  <r>
    <x v="2"/>
  </r>
  <r>
    <x v="5"/>
  </r>
  <r>
    <x v="8"/>
  </r>
  <r>
    <x v="20"/>
  </r>
  <r>
    <x v="23"/>
  </r>
  <r>
    <x v="2"/>
  </r>
  <r>
    <x v="13"/>
  </r>
  <r>
    <x v="5"/>
  </r>
  <r>
    <x v="5"/>
  </r>
  <r>
    <x v="19"/>
  </r>
  <r>
    <x v="16"/>
  </r>
  <r>
    <x v="16"/>
  </r>
  <r>
    <x v="2"/>
  </r>
  <r>
    <x v="5"/>
  </r>
  <r>
    <x v="4"/>
  </r>
  <r>
    <x v="2"/>
  </r>
  <r>
    <x v="7"/>
  </r>
  <r>
    <x v="24"/>
  </r>
  <r>
    <x v="3"/>
  </r>
  <r>
    <x v="1"/>
  </r>
  <r>
    <x v="24"/>
  </r>
  <r>
    <x v="8"/>
  </r>
  <r>
    <x v="5"/>
  </r>
  <r>
    <x v="25"/>
  </r>
  <r>
    <x v="5"/>
  </r>
  <r>
    <x v="5"/>
  </r>
  <r>
    <x v="5"/>
  </r>
  <r>
    <x v="2"/>
  </r>
  <r>
    <x v="9"/>
  </r>
  <r>
    <x v="3"/>
  </r>
  <r>
    <x v="5"/>
  </r>
  <r>
    <x v="5"/>
  </r>
  <r>
    <x v="26"/>
  </r>
  <r>
    <x v="6"/>
  </r>
  <r>
    <x v="13"/>
  </r>
  <r>
    <x v="9"/>
  </r>
  <r>
    <x v="9"/>
  </r>
  <r>
    <x v="13"/>
  </r>
  <r>
    <x v="20"/>
  </r>
  <r>
    <x v="18"/>
  </r>
  <r>
    <x v="19"/>
  </r>
  <r>
    <x v="5"/>
  </r>
  <r>
    <x v="9"/>
  </r>
  <r>
    <x v="5"/>
  </r>
  <r>
    <x v="9"/>
  </r>
  <r>
    <x v="9"/>
  </r>
  <r>
    <x v="13"/>
  </r>
  <r>
    <x v="3"/>
  </r>
  <r>
    <x v="4"/>
  </r>
  <r>
    <x v="3"/>
  </r>
  <r>
    <x v="13"/>
  </r>
  <r>
    <x v="16"/>
  </r>
  <r>
    <x v="4"/>
  </r>
  <r>
    <x v="5"/>
  </r>
  <r>
    <x v="3"/>
  </r>
  <r>
    <x v="9"/>
  </r>
  <r>
    <x v="8"/>
  </r>
  <r>
    <x v="1"/>
  </r>
  <r>
    <x v="6"/>
  </r>
  <r>
    <x v="25"/>
  </r>
  <r>
    <x v="10"/>
  </r>
  <r>
    <x v="9"/>
  </r>
  <r>
    <x v="11"/>
  </r>
  <r>
    <x v="27"/>
  </r>
  <r>
    <x v="9"/>
  </r>
  <r>
    <x v="4"/>
  </r>
  <r>
    <x v="18"/>
  </r>
  <r>
    <x v="5"/>
  </r>
  <r>
    <x v="3"/>
  </r>
  <r>
    <x v="9"/>
  </r>
  <r>
    <x v="11"/>
  </r>
  <r>
    <x v="1"/>
  </r>
  <r>
    <x v="8"/>
  </r>
  <r>
    <x v="10"/>
  </r>
  <r>
    <x v="3"/>
  </r>
  <r>
    <x v="3"/>
  </r>
  <r>
    <x v="9"/>
  </r>
  <r>
    <x v="9"/>
  </r>
  <r>
    <x v="14"/>
  </r>
  <r>
    <x v="13"/>
  </r>
  <r>
    <x v="13"/>
  </r>
  <r>
    <x v="6"/>
  </r>
  <r>
    <x v="13"/>
  </r>
  <r>
    <x v="8"/>
  </r>
  <r>
    <x v="16"/>
  </r>
  <r>
    <x v="5"/>
  </r>
  <r>
    <x v="5"/>
  </r>
  <r>
    <x v="13"/>
  </r>
  <r>
    <x v="2"/>
  </r>
  <r>
    <x v="13"/>
  </r>
  <r>
    <x v="28"/>
  </r>
  <r>
    <x v="18"/>
  </r>
  <r>
    <x v="6"/>
  </r>
  <r>
    <x v="29"/>
  </r>
  <r>
    <x v="9"/>
  </r>
  <r>
    <x v="4"/>
  </r>
  <r>
    <x v="5"/>
  </r>
  <r>
    <x v="18"/>
  </r>
  <r>
    <x v="5"/>
  </r>
  <r>
    <x v="6"/>
  </r>
  <r>
    <x v="2"/>
  </r>
  <r>
    <x v="9"/>
  </r>
  <r>
    <x v="5"/>
  </r>
  <r>
    <x v="1"/>
  </r>
  <r>
    <x v="26"/>
  </r>
  <r>
    <x v="1"/>
  </r>
  <r>
    <x v="19"/>
  </r>
  <r>
    <x v="3"/>
  </r>
  <r>
    <x v="9"/>
  </r>
  <r>
    <x v="8"/>
  </r>
  <r>
    <x v="3"/>
  </r>
  <r>
    <x v="4"/>
  </r>
  <r>
    <x v="5"/>
  </r>
  <r>
    <x v="2"/>
  </r>
  <r>
    <x v="13"/>
  </r>
  <r>
    <x v="13"/>
  </r>
  <r>
    <x v="30"/>
  </r>
  <r>
    <x v="9"/>
  </r>
  <r>
    <x v="31"/>
  </r>
  <r>
    <x v="24"/>
  </r>
  <r>
    <x v="16"/>
  </r>
  <r>
    <x v="5"/>
  </r>
  <r>
    <x v="1"/>
  </r>
  <r>
    <x v="10"/>
  </r>
  <r>
    <x v="17"/>
  </r>
  <r>
    <x v="9"/>
  </r>
  <r>
    <x v="13"/>
  </r>
  <r>
    <x v="11"/>
  </r>
  <r>
    <x v="2"/>
  </r>
  <r>
    <x v="9"/>
  </r>
  <r>
    <x v="5"/>
  </r>
  <r>
    <x v="8"/>
  </r>
  <r>
    <x v="1"/>
  </r>
  <r>
    <x v="9"/>
  </r>
  <r>
    <x v="26"/>
  </r>
  <r>
    <x v="5"/>
  </r>
  <r>
    <x v="8"/>
  </r>
  <r>
    <x v="8"/>
  </r>
  <r>
    <x v="4"/>
  </r>
  <r>
    <x v="9"/>
  </r>
  <r>
    <x v="3"/>
  </r>
  <r>
    <x v="26"/>
  </r>
  <r>
    <x v="5"/>
  </r>
  <r>
    <x v="5"/>
  </r>
  <r>
    <x v="2"/>
  </r>
  <r>
    <x v="4"/>
  </r>
  <r>
    <x v="5"/>
  </r>
  <r>
    <x v="7"/>
  </r>
  <r>
    <x v="8"/>
  </r>
  <r>
    <x v="19"/>
  </r>
  <r>
    <x v="9"/>
  </r>
  <r>
    <x v="31"/>
  </r>
  <r>
    <x v="2"/>
  </r>
  <r>
    <x v="5"/>
  </r>
  <r>
    <x v="6"/>
  </r>
  <r>
    <x v="18"/>
  </r>
  <r>
    <x v="11"/>
  </r>
  <r>
    <x v="16"/>
  </r>
  <r>
    <x v="32"/>
  </r>
  <r>
    <x v="11"/>
  </r>
  <r>
    <x v="8"/>
  </r>
  <r>
    <x v="2"/>
  </r>
  <r>
    <x v="33"/>
  </r>
  <r>
    <x v="1"/>
  </r>
  <r>
    <x v="8"/>
  </r>
  <r>
    <x v="5"/>
  </r>
  <r>
    <x v="1"/>
  </r>
  <r>
    <x v="5"/>
  </r>
  <r>
    <x v="1"/>
  </r>
  <r>
    <x v="5"/>
  </r>
  <r>
    <x v="6"/>
  </r>
  <r>
    <x v="3"/>
  </r>
  <r>
    <x v="17"/>
  </r>
  <r>
    <x v="5"/>
  </r>
  <r>
    <x v="2"/>
  </r>
  <r>
    <x v="20"/>
  </r>
  <r>
    <x v="16"/>
  </r>
  <r>
    <x v="27"/>
  </r>
  <r>
    <x v="5"/>
  </r>
  <r>
    <x v="9"/>
  </r>
  <r>
    <x v="6"/>
  </r>
  <r>
    <x v="9"/>
  </r>
  <r>
    <x v="1"/>
  </r>
  <r>
    <x v="5"/>
  </r>
  <r>
    <x v="18"/>
  </r>
  <r>
    <x v="4"/>
  </r>
  <r>
    <x v="9"/>
  </r>
  <r>
    <x v="7"/>
  </r>
  <r>
    <x v="16"/>
  </r>
  <r>
    <x v="19"/>
  </r>
  <r>
    <x v="6"/>
  </r>
  <r>
    <x v="1"/>
  </r>
  <r>
    <x v="33"/>
  </r>
  <r>
    <x v="2"/>
  </r>
  <r>
    <x v="9"/>
  </r>
  <r>
    <x v="5"/>
  </r>
  <r>
    <x v="8"/>
  </r>
  <r>
    <x v="4"/>
  </r>
  <r>
    <x v="16"/>
  </r>
  <r>
    <x v="16"/>
  </r>
  <r>
    <x v="4"/>
  </r>
  <r>
    <x v="13"/>
  </r>
  <r>
    <x v="9"/>
  </r>
  <r>
    <x v="5"/>
  </r>
  <r>
    <x v="2"/>
  </r>
  <r>
    <x v="13"/>
  </r>
  <r>
    <x v="2"/>
  </r>
  <r>
    <x v="16"/>
  </r>
  <r>
    <x v="9"/>
  </r>
  <r>
    <x v="2"/>
  </r>
  <r>
    <x v="13"/>
  </r>
  <r>
    <x v="16"/>
  </r>
  <r>
    <x v="27"/>
  </r>
  <r>
    <x v="1"/>
  </r>
  <r>
    <x v="9"/>
  </r>
  <r>
    <x v="4"/>
  </r>
  <r>
    <x v="9"/>
  </r>
  <r>
    <x v="15"/>
  </r>
  <r>
    <x v="31"/>
  </r>
  <r>
    <x v="3"/>
  </r>
  <r>
    <x v="3"/>
  </r>
  <r>
    <x v="1"/>
  </r>
  <r>
    <x v="5"/>
  </r>
  <r>
    <x v="2"/>
  </r>
  <r>
    <x v="16"/>
  </r>
  <r>
    <x v="5"/>
  </r>
  <r>
    <x v="2"/>
  </r>
  <r>
    <x v="6"/>
  </r>
  <r>
    <x v="6"/>
  </r>
  <r>
    <x v="3"/>
  </r>
  <r>
    <x v="5"/>
  </r>
  <r>
    <x v="32"/>
  </r>
  <r>
    <x v="4"/>
  </r>
  <r>
    <x v="2"/>
  </r>
  <r>
    <x v="2"/>
  </r>
  <r>
    <x v="2"/>
  </r>
  <r>
    <x v="9"/>
  </r>
  <r>
    <x v="3"/>
  </r>
  <r>
    <x v="9"/>
  </r>
  <r>
    <x v="8"/>
  </r>
  <r>
    <x v="5"/>
  </r>
  <r>
    <x v="4"/>
  </r>
  <r>
    <x v="10"/>
  </r>
  <r>
    <x v="3"/>
  </r>
  <r>
    <x v="10"/>
  </r>
  <r>
    <x v="5"/>
  </r>
  <r>
    <x v="16"/>
  </r>
  <r>
    <x v="5"/>
  </r>
  <r>
    <x v="4"/>
  </r>
  <r>
    <x v="2"/>
  </r>
  <r>
    <x v="10"/>
  </r>
  <r>
    <x v="18"/>
  </r>
  <r>
    <x v="9"/>
  </r>
  <r>
    <x v="7"/>
  </r>
  <r>
    <x v="5"/>
  </r>
  <r>
    <x v="4"/>
  </r>
  <r>
    <x v="5"/>
  </r>
  <r>
    <x v="13"/>
  </r>
  <r>
    <x v="6"/>
  </r>
  <r>
    <x v="1"/>
  </r>
  <r>
    <x v="3"/>
  </r>
  <r>
    <x v="4"/>
  </r>
  <r>
    <x v="21"/>
  </r>
  <r>
    <x v="18"/>
  </r>
  <r>
    <x v="13"/>
  </r>
  <r>
    <x v="1"/>
  </r>
  <r>
    <x v="2"/>
  </r>
  <r>
    <x v="31"/>
  </r>
  <r>
    <x v="3"/>
  </r>
  <r>
    <x v="4"/>
  </r>
  <r>
    <x v="5"/>
  </r>
  <r>
    <x v="13"/>
  </r>
  <r>
    <x v="3"/>
  </r>
  <r>
    <x v="10"/>
  </r>
  <r>
    <x v="3"/>
  </r>
  <r>
    <x v="4"/>
  </r>
  <r>
    <x v="13"/>
  </r>
  <r>
    <x v="8"/>
  </r>
  <r>
    <x v="3"/>
  </r>
  <r>
    <x v="34"/>
  </r>
  <r>
    <x v="2"/>
  </r>
  <r>
    <x v="18"/>
  </r>
  <r>
    <x v="9"/>
  </r>
  <r>
    <x v="16"/>
  </r>
  <r>
    <x v="17"/>
  </r>
  <r>
    <x v="9"/>
  </r>
  <r>
    <x v="13"/>
  </r>
  <r>
    <x v="19"/>
  </r>
  <r>
    <x v="5"/>
  </r>
  <r>
    <x v="2"/>
  </r>
  <r>
    <x v="6"/>
  </r>
  <r>
    <x v="13"/>
  </r>
  <r>
    <x v="2"/>
  </r>
  <r>
    <x v="2"/>
  </r>
  <r>
    <x v="17"/>
  </r>
  <r>
    <x v="0"/>
  </r>
  <r>
    <x v="18"/>
  </r>
  <r>
    <x v="6"/>
  </r>
  <r>
    <x v="5"/>
  </r>
  <r>
    <x v="9"/>
  </r>
  <r>
    <x v="9"/>
  </r>
  <r>
    <x v="12"/>
  </r>
  <r>
    <x v="4"/>
  </r>
  <r>
    <x v="16"/>
  </r>
  <r>
    <x v="16"/>
  </r>
  <r>
    <x v="2"/>
  </r>
  <r>
    <x v="4"/>
  </r>
  <r>
    <x v="5"/>
  </r>
  <r>
    <x v="5"/>
  </r>
  <r>
    <x v="5"/>
  </r>
  <r>
    <x v="9"/>
  </r>
  <r>
    <x v="1"/>
  </r>
  <r>
    <x v="13"/>
  </r>
  <r>
    <x v="5"/>
  </r>
  <r>
    <x v="5"/>
  </r>
  <r>
    <x v="20"/>
  </r>
  <r>
    <x v="2"/>
  </r>
  <r>
    <x v="2"/>
  </r>
  <r>
    <x v="13"/>
  </r>
  <r>
    <x v="26"/>
  </r>
  <r>
    <x v="2"/>
  </r>
  <r>
    <x v="4"/>
  </r>
  <r>
    <x v="5"/>
  </r>
  <r>
    <x v="3"/>
  </r>
  <r>
    <x v="9"/>
  </r>
  <r>
    <x v="6"/>
  </r>
  <r>
    <x v="19"/>
  </r>
  <r>
    <x v="15"/>
  </r>
  <r>
    <x v="9"/>
  </r>
  <r>
    <x v="3"/>
  </r>
  <r>
    <x v="16"/>
  </r>
  <r>
    <x v="5"/>
  </r>
  <r>
    <x v="33"/>
  </r>
  <r>
    <x v="5"/>
  </r>
  <r>
    <x v="9"/>
  </r>
  <r>
    <x v="5"/>
  </r>
  <r>
    <x v="3"/>
  </r>
  <r>
    <x v="18"/>
  </r>
  <r>
    <x v="8"/>
  </r>
  <r>
    <x v="11"/>
  </r>
  <r>
    <x v="5"/>
  </r>
  <r>
    <x v="2"/>
  </r>
  <r>
    <x v="2"/>
  </r>
  <r>
    <x v="11"/>
  </r>
  <r>
    <x v="9"/>
  </r>
  <r>
    <x v="2"/>
  </r>
  <r>
    <x v="33"/>
  </r>
  <r>
    <x v="2"/>
  </r>
  <r>
    <x v="5"/>
  </r>
  <r>
    <x v="16"/>
  </r>
  <r>
    <x v="5"/>
  </r>
  <r>
    <x v="16"/>
  </r>
  <r>
    <x v="6"/>
  </r>
  <r>
    <x v="9"/>
  </r>
  <r>
    <x v="5"/>
  </r>
  <r>
    <x v="9"/>
  </r>
  <r>
    <x v="3"/>
  </r>
  <r>
    <x v="1"/>
  </r>
  <r>
    <x v="9"/>
  </r>
  <r>
    <x v="16"/>
  </r>
  <r>
    <x v="18"/>
  </r>
  <r>
    <x v="17"/>
  </r>
  <r>
    <x v="18"/>
  </r>
  <r>
    <x v="8"/>
  </r>
  <r>
    <x v="3"/>
  </r>
  <r>
    <x v="13"/>
  </r>
  <r>
    <x v="4"/>
  </r>
  <r>
    <x v="13"/>
  </r>
  <r>
    <x v="5"/>
  </r>
  <r>
    <x v="8"/>
  </r>
  <r>
    <x v="9"/>
  </r>
  <r>
    <x v="8"/>
  </r>
  <r>
    <x v="4"/>
  </r>
  <r>
    <x v="4"/>
  </r>
  <r>
    <x v="8"/>
  </r>
  <r>
    <x v="9"/>
  </r>
  <r>
    <x v="5"/>
  </r>
  <r>
    <x v="9"/>
  </r>
  <r>
    <x v="2"/>
  </r>
  <r>
    <x v="4"/>
  </r>
  <r>
    <x v="4"/>
  </r>
  <r>
    <x v="5"/>
  </r>
  <r>
    <x v="2"/>
  </r>
  <r>
    <x v="5"/>
  </r>
  <r>
    <x v="26"/>
  </r>
  <r>
    <x v="6"/>
  </r>
  <r>
    <x v="6"/>
  </r>
  <r>
    <x v="9"/>
  </r>
  <r>
    <x v="6"/>
  </r>
  <r>
    <x v="11"/>
  </r>
  <r>
    <x v="2"/>
  </r>
  <r>
    <x v="18"/>
  </r>
  <r>
    <x v="4"/>
  </r>
  <r>
    <x v="26"/>
  </r>
  <r>
    <x v="5"/>
  </r>
  <r>
    <x v="11"/>
  </r>
  <r>
    <x v="5"/>
  </r>
  <r>
    <x v="4"/>
  </r>
  <r>
    <x v="5"/>
  </r>
  <r>
    <x v="5"/>
  </r>
  <r>
    <x v="2"/>
  </r>
  <r>
    <x v="16"/>
  </r>
  <r>
    <x v="2"/>
  </r>
  <r>
    <x v="6"/>
  </r>
  <r>
    <x v="5"/>
  </r>
  <r>
    <x v="31"/>
  </r>
  <r>
    <x v="5"/>
  </r>
  <r>
    <x v="18"/>
  </r>
  <r>
    <x v="2"/>
  </r>
  <r>
    <x v="9"/>
  </r>
  <r>
    <x v="26"/>
  </r>
  <r>
    <x v="5"/>
  </r>
  <r>
    <x v="6"/>
  </r>
  <r>
    <x v="6"/>
  </r>
  <r>
    <x v="3"/>
  </r>
  <r>
    <x v="2"/>
  </r>
  <r>
    <x v="3"/>
  </r>
  <r>
    <x v="5"/>
  </r>
  <r>
    <x v="2"/>
  </r>
  <r>
    <x v="20"/>
  </r>
  <r>
    <x v="5"/>
  </r>
  <r>
    <x v="19"/>
  </r>
  <r>
    <x v="16"/>
  </r>
  <r>
    <x v="5"/>
  </r>
  <r>
    <x v="9"/>
  </r>
  <r>
    <x v="18"/>
  </r>
  <r>
    <x v="4"/>
  </r>
  <r>
    <x v="3"/>
  </r>
  <r>
    <x v="13"/>
  </r>
  <r>
    <x v="4"/>
  </r>
  <r>
    <x v="2"/>
  </r>
  <r>
    <x v="9"/>
  </r>
  <r>
    <x v="3"/>
  </r>
  <r>
    <x v="0"/>
  </r>
  <r>
    <x v="2"/>
  </r>
  <r>
    <x v="9"/>
  </r>
  <r>
    <x v="2"/>
  </r>
  <r>
    <x v="3"/>
  </r>
  <r>
    <x v="2"/>
  </r>
  <r>
    <x v="2"/>
  </r>
  <r>
    <x v="8"/>
  </r>
  <r>
    <x v="12"/>
  </r>
  <r>
    <x v="5"/>
  </r>
  <r>
    <x v="9"/>
  </r>
  <r>
    <x v="8"/>
  </r>
  <r>
    <x v="9"/>
  </r>
  <r>
    <x v="2"/>
  </r>
  <r>
    <x v="16"/>
  </r>
  <r>
    <x v="11"/>
  </r>
  <r>
    <x v="9"/>
  </r>
  <r>
    <x v="3"/>
  </r>
  <r>
    <x v="4"/>
  </r>
  <r>
    <x v="13"/>
  </r>
  <r>
    <x v="3"/>
  </r>
  <r>
    <x v="5"/>
  </r>
  <r>
    <x v="5"/>
  </r>
  <r>
    <x v="1"/>
  </r>
  <r>
    <x v="9"/>
  </r>
  <r>
    <x v="4"/>
  </r>
  <r>
    <x v="9"/>
  </r>
  <r>
    <x v="31"/>
  </r>
  <r>
    <x v="19"/>
  </r>
  <r>
    <x v="4"/>
  </r>
  <r>
    <x v="3"/>
  </r>
  <r>
    <x v="4"/>
  </r>
  <r>
    <x v="6"/>
  </r>
  <r>
    <x v="35"/>
  </r>
  <r>
    <x v="3"/>
  </r>
  <r>
    <x v="3"/>
  </r>
  <r>
    <x v="9"/>
  </r>
  <r>
    <x v="6"/>
  </r>
  <r>
    <x v="5"/>
  </r>
  <r>
    <x v="5"/>
  </r>
  <r>
    <x v="2"/>
  </r>
  <r>
    <x v="18"/>
  </r>
  <r>
    <x v="4"/>
  </r>
  <r>
    <x v="1"/>
  </r>
  <r>
    <x v="4"/>
  </r>
  <r>
    <x v="3"/>
  </r>
  <r>
    <x v="16"/>
  </r>
  <r>
    <x v="4"/>
  </r>
  <r>
    <x v="9"/>
  </r>
  <r>
    <x v="9"/>
  </r>
  <r>
    <x v="9"/>
  </r>
  <r>
    <x v="13"/>
  </r>
  <r>
    <x v="4"/>
  </r>
  <r>
    <x v="5"/>
  </r>
  <r>
    <x v="3"/>
  </r>
  <r>
    <x v="13"/>
  </r>
  <r>
    <x v="4"/>
  </r>
  <r>
    <x v="2"/>
  </r>
  <r>
    <x v="4"/>
  </r>
  <r>
    <x v="9"/>
  </r>
  <r>
    <x v="5"/>
  </r>
  <r>
    <x v="16"/>
  </r>
  <r>
    <x v="5"/>
  </r>
  <r>
    <x v="8"/>
  </r>
  <r>
    <x v="4"/>
  </r>
  <r>
    <x v="9"/>
  </r>
  <r>
    <x v="18"/>
  </r>
  <r>
    <x v="6"/>
  </r>
  <r>
    <x v="4"/>
  </r>
  <r>
    <x v="9"/>
  </r>
  <r>
    <x v="13"/>
  </r>
  <r>
    <x v="1"/>
  </r>
  <r>
    <x v="9"/>
  </r>
  <r>
    <x v="5"/>
  </r>
  <r>
    <x v="2"/>
  </r>
  <r>
    <x v="5"/>
  </r>
  <r>
    <x v="17"/>
  </r>
  <r>
    <x v="32"/>
  </r>
  <r>
    <x v="4"/>
  </r>
  <r>
    <x v="16"/>
  </r>
  <r>
    <x v="5"/>
  </r>
  <r>
    <x v="8"/>
  </r>
  <r>
    <x v="8"/>
  </r>
  <r>
    <x v="2"/>
  </r>
  <r>
    <x v="31"/>
  </r>
  <r>
    <x v="3"/>
  </r>
  <r>
    <x v="5"/>
  </r>
  <r>
    <x v="11"/>
  </r>
  <r>
    <x v="5"/>
  </r>
  <r>
    <x v="5"/>
  </r>
  <r>
    <x v="6"/>
  </r>
  <r>
    <x v="4"/>
  </r>
  <r>
    <x v="33"/>
  </r>
  <r>
    <x v="2"/>
  </r>
  <r>
    <x v="5"/>
  </r>
  <r>
    <x v="9"/>
  </r>
  <r>
    <x v="5"/>
  </r>
  <r>
    <x v="5"/>
  </r>
  <r>
    <x v="5"/>
  </r>
  <r>
    <x v="6"/>
  </r>
  <r>
    <x v="3"/>
  </r>
  <r>
    <x v="13"/>
  </r>
  <r>
    <x v="5"/>
  </r>
  <r>
    <x v="1"/>
  </r>
  <r>
    <x v="6"/>
  </r>
  <r>
    <x v="9"/>
  </r>
  <r>
    <x v="16"/>
  </r>
  <r>
    <x v="15"/>
  </r>
  <r>
    <x v="2"/>
  </r>
  <r>
    <x v="9"/>
  </r>
  <r>
    <x v="31"/>
  </r>
  <r>
    <x v="18"/>
  </r>
  <r>
    <x v="13"/>
  </r>
  <r>
    <x v="18"/>
  </r>
  <r>
    <x v="5"/>
  </r>
  <r>
    <x v="3"/>
  </r>
  <r>
    <x v="5"/>
  </r>
  <r>
    <x v="2"/>
  </r>
  <r>
    <x v="9"/>
  </r>
  <r>
    <x v="4"/>
  </r>
  <r>
    <x v="16"/>
  </r>
  <r>
    <x v="6"/>
  </r>
  <r>
    <x v="30"/>
  </r>
  <r>
    <x v="2"/>
  </r>
  <r>
    <x v="17"/>
  </r>
  <r>
    <x v="5"/>
  </r>
  <r>
    <x v="3"/>
  </r>
  <r>
    <x v="4"/>
  </r>
  <r>
    <x v="5"/>
  </r>
  <r>
    <x v="2"/>
  </r>
  <r>
    <x v="6"/>
  </r>
  <r>
    <x v="4"/>
  </r>
  <r>
    <x v="4"/>
  </r>
  <r>
    <x v="16"/>
  </r>
  <r>
    <x v="11"/>
  </r>
  <r>
    <x v="5"/>
  </r>
  <r>
    <x v="2"/>
  </r>
  <r>
    <x v="5"/>
  </r>
  <r>
    <x v="3"/>
  </r>
  <r>
    <x v="6"/>
  </r>
  <r>
    <x v="2"/>
  </r>
  <r>
    <x v="13"/>
  </r>
  <r>
    <x v="1"/>
  </r>
  <r>
    <x v="4"/>
  </r>
  <r>
    <x v="20"/>
  </r>
  <r>
    <x v="2"/>
  </r>
  <r>
    <x v="6"/>
  </r>
  <r>
    <x v="2"/>
  </r>
  <r>
    <x v="9"/>
  </r>
  <r>
    <x v="9"/>
  </r>
  <r>
    <x v="3"/>
  </r>
  <r>
    <x v="3"/>
  </r>
  <r>
    <x v="2"/>
  </r>
  <r>
    <x v="4"/>
  </r>
  <r>
    <x v="9"/>
  </r>
  <r>
    <x v="9"/>
  </r>
  <r>
    <x v="33"/>
  </r>
  <r>
    <x v="3"/>
  </r>
  <r>
    <x v="2"/>
  </r>
  <r>
    <x v="2"/>
  </r>
  <r>
    <x v="4"/>
  </r>
  <r>
    <x v="3"/>
  </r>
  <r>
    <x v="2"/>
  </r>
  <r>
    <x v="8"/>
  </r>
  <r>
    <x v="9"/>
  </r>
  <r>
    <x v="5"/>
  </r>
  <r>
    <x v="2"/>
  </r>
  <r>
    <x v="5"/>
  </r>
  <r>
    <x v="7"/>
  </r>
  <r>
    <x v="30"/>
  </r>
  <r>
    <x v="5"/>
  </r>
  <r>
    <x v="2"/>
  </r>
  <r>
    <x v="2"/>
  </r>
  <r>
    <x v="1"/>
  </r>
  <r>
    <x v="5"/>
  </r>
  <r>
    <x v="17"/>
  </r>
  <r>
    <x v="2"/>
  </r>
  <r>
    <x v="3"/>
  </r>
  <r>
    <x v="9"/>
  </r>
  <r>
    <x v="25"/>
  </r>
  <r>
    <x v="17"/>
  </r>
  <r>
    <x v="5"/>
  </r>
  <r>
    <x v="5"/>
  </r>
  <r>
    <x v="9"/>
  </r>
  <r>
    <x v="8"/>
  </r>
  <r>
    <x v="1"/>
  </r>
  <r>
    <x v="31"/>
  </r>
  <r>
    <x v="26"/>
  </r>
  <r>
    <x v="21"/>
  </r>
  <r>
    <x v="2"/>
  </r>
  <r>
    <x v="3"/>
  </r>
  <r>
    <x v="2"/>
  </r>
  <r>
    <x v="5"/>
  </r>
  <r>
    <x v="5"/>
  </r>
  <r>
    <x v="5"/>
  </r>
  <r>
    <x v="12"/>
  </r>
  <r>
    <x v="11"/>
  </r>
  <r>
    <x v="20"/>
  </r>
  <r>
    <x v="11"/>
  </r>
  <r>
    <x v="9"/>
  </r>
  <r>
    <x v="9"/>
  </r>
  <r>
    <x v="2"/>
  </r>
  <r>
    <x v="5"/>
  </r>
  <r>
    <x v="27"/>
  </r>
  <r>
    <x v="24"/>
  </r>
  <r>
    <x v="16"/>
  </r>
  <r>
    <x v="9"/>
  </r>
  <r>
    <x v="16"/>
  </r>
  <r>
    <x v="19"/>
  </r>
  <r>
    <x v="11"/>
  </r>
  <r>
    <x v="19"/>
  </r>
  <r>
    <x v="6"/>
  </r>
  <r>
    <x v="16"/>
  </r>
  <r>
    <x v="9"/>
  </r>
  <r>
    <x v="5"/>
  </r>
  <r>
    <x v="5"/>
  </r>
  <r>
    <x v="1"/>
  </r>
  <r>
    <x v="2"/>
  </r>
  <r>
    <x v="4"/>
  </r>
  <r>
    <x v="9"/>
  </r>
  <r>
    <x v="5"/>
  </r>
  <r>
    <x v="6"/>
  </r>
  <r>
    <x v="16"/>
  </r>
  <r>
    <x v="6"/>
  </r>
  <r>
    <x v="5"/>
  </r>
  <r>
    <x v="3"/>
  </r>
  <r>
    <x v="13"/>
  </r>
  <r>
    <x v="19"/>
  </r>
  <r>
    <x v="13"/>
  </r>
  <r>
    <x v="5"/>
  </r>
  <r>
    <x v="8"/>
  </r>
  <r>
    <x v="5"/>
  </r>
  <r>
    <x v="30"/>
  </r>
  <r>
    <x v="1"/>
  </r>
  <r>
    <x v="1"/>
  </r>
  <r>
    <x v="6"/>
  </r>
  <r>
    <x v="5"/>
  </r>
  <r>
    <x v="3"/>
  </r>
  <r>
    <x v="5"/>
  </r>
  <r>
    <x v="2"/>
  </r>
  <r>
    <x v="4"/>
  </r>
  <r>
    <x v="5"/>
  </r>
  <r>
    <x v="4"/>
  </r>
  <r>
    <x v="24"/>
  </r>
  <r>
    <x v="5"/>
  </r>
  <r>
    <x v="3"/>
  </r>
  <r>
    <x v="1"/>
  </r>
  <r>
    <x v="9"/>
  </r>
  <r>
    <x v="5"/>
  </r>
  <r>
    <x v="15"/>
  </r>
  <r>
    <x v="16"/>
  </r>
  <r>
    <x v="3"/>
  </r>
  <r>
    <x v="2"/>
  </r>
  <r>
    <x v="27"/>
  </r>
  <r>
    <x v="9"/>
  </r>
  <r>
    <x v="3"/>
  </r>
  <r>
    <x v="11"/>
  </r>
  <r>
    <x v="7"/>
  </r>
  <r>
    <x v="8"/>
  </r>
  <r>
    <x v="3"/>
  </r>
  <r>
    <x v="5"/>
  </r>
  <r>
    <x v="31"/>
  </r>
  <r>
    <x v="6"/>
  </r>
  <r>
    <x v="2"/>
  </r>
  <r>
    <x v="16"/>
  </r>
  <r>
    <x v="19"/>
  </r>
  <r>
    <x v="3"/>
  </r>
  <r>
    <x v="6"/>
  </r>
  <r>
    <x v="4"/>
  </r>
  <r>
    <x v="19"/>
  </r>
  <r>
    <x v="3"/>
  </r>
  <r>
    <x v="13"/>
  </r>
  <r>
    <x v="3"/>
  </r>
  <r>
    <x v="3"/>
  </r>
  <r>
    <x v="3"/>
  </r>
  <r>
    <x v="11"/>
  </r>
  <r>
    <x v="3"/>
  </r>
  <r>
    <x v="9"/>
  </r>
  <r>
    <x v="4"/>
  </r>
  <r>
    <x v="5"/>
  </r>
  <r>
    <x v="19"/>
  </r>
  <r>
    <x v="3"/>
  </r>
  <r>
    <x v="16"/>
  </r>
  <r>
    <x v="13"/>
  </r>
  <r>
    <x v="3"/>
  </r>
  <r>
    <x v="16"/>
  </r>
  <r>
    <x v="9"/>
  </r>
  <r>
    <x v="16"/>
  </r>
  <r>
    <x v="16"/>
  </r>
  <r>
    <x v="9"/>
  </r>
  <r>
    <x v="13"/>
  </r>
  <r>
    <x v="5"/>
  </r>
  <r>
    <x v="11"/>
  </r>
  <r>
    <x v="13"/>
  </r>
  <r>
    <x v="11"/>
  </r>
  <r>
    <x v="2"/>
  </r>
  <r>
    <x v="5"/>
  </r>
  <r>
    <x v="9"/>
  </r>
  <r>
    <x v="2"/>
  </r>
  <r>
    <x v="19"/>
  </r>
  <r>
    <x v="9"/>
  </r>
  <r>
    <x v="9"/>
  </r>
  <r>
    <x v="6"/>
  </r>
  <r>
    <x v="12"/>
  </r>
  <r>
    <x v="16"/>
  </r>
  <r>
    <x v="5"/>
  </r>
  <r>
    <x v="3"/>
  </r>
  <r>
    <x v="2"/>
  </r>
  <r>
    <x v="5"/>
  </r>
  <r>
    <x v="7"/>
  </r>
  <r>
    <x v="5"/>
  </r>
  <r>
    <x v="5"/>
  </r>
  <r>
    <x v="17"/>
  </r>
  <r>
    <x v="1"/>
  </r>
  <r>
    <x v="19"/>
  </r>
  <r>
    <x v="8"/>
  </r>
  <r>
    <x v="13"/>
  </r>
  <r>
    <x v="5"/>
  </r>
  <r>
    <x v="2"/>
  </r>
  <r>
    <x v="9"/>
  </r>
  <r>
    <x v="5"/>
  </r>
  <r>
    <x v="9"/>
  </r>
  <r>
    <x v="5"/>
  </r>
  <r>
    <x v="4"/>
  </r>
  <r>
    <x v="4"/>
  </r>
  <r>
    <x v="5"/>
  </r>
  <r>
    <x v="13"/>
  </r>
  <r>
    <x v="2"/>
  </r>
  <r>
    <x v="4"/>
  </r>
  <r>
    <x v="3"/>
  </r>
  <r>
    <x v="5"/>
  </r>
  <r>
    <x v="4"/>
  </r>
  <r>
    <x v="9"/>
  </r>
  <r>
    <x v="4"/>
  </r>
  <r>
    <x v="4"/>
  </r>
  <r>
    <x v="6"/>
  </r>
  <r>
    <x v="9"/>
  </r>
  <r>
    <x v="11"/>
  </r>
  <r>
    <x v="13"/>
  </r>
  <r>
    <x v="8"/>
  </r>
  <r>
    <x v="3"/>
  </r>
  <r>
    <x v="2"/>
  </r>
  <r>
    <x v="2"/>
  </r>
  <r>
    <x v="3"/>
  </r>
  <r>
    <x v="13"/>
  </r>
  <r>
    <x v="6"/>
  </r>
  <r>
    <x v="5"/>
  </r>
  <r>
    <x v="5"/>
  </r>
  <r>
    <x v="2"/>
  </r>
  <r>
    <x v="6"/>
  </r>
  <r>
    <x v="9"/>
  </r>
  <r>
    <x v="5"/>
  </r>
  <r>
    <x v="2"/>
  </r>
  <r>
    <x v="16"/>
  </r>
  <r>
    <x v="13"/>
  </r>
  <r>
    <x v="6"/>
  </r>
  <r>
    <x v="5"/>
  </r>
  <r>
    <x v="2"/>
  </r>
  <r>
    <x v="9"/>
  </r>
  <r>
    <x v="2"/>
  </r>
  <r>
    <x v="11"/>
  </r>
  <r>
    <x v="31"/>
  </r>
  <r>
    <x v="5"/>
  </r>
  <r>
    <x v="4"/>
  </r>
  <r>
    <x v="3"/>
  </r>
  <r>
    <x v="2"/>
  </r>
  <r>
    <x v="4"/>
  </r>
  <r>
    <x v="5"/>
  </r>
  <r>
    <x v="2"/>
  </r>
  <r>
    <x v="2"/>
  </r>
  <r>
    <x v="5"/>
  </r>
  <r>
    <x v="5"/>
  </r>
  <r>
    <x v="5"/>
  </r>
  <r>
    <x v="4"/>
  </r>
  <r>
    <x v="13"/>
  </r>
  <r>
    <x v="13"/>
  </r>
  <r>
    <x v="6"/>
  </r>
  <r>
    <x v="9"/>
  </r>
  <r>
    <x v="26"/>
  </r>
  <r>
    <x v="13"/>
  </r>
  <r>
    <x v="9"/>
  </r>
  <r>
    <x v="8"/>
  </r>
  <r>
    <x v="27"/>
  </r>
  <r>
    <x v="2"/>
  </r>
  <r>
    <x v="26"/>
  </r>
  <r>
    <x v="33"/>
  </r>
  <r>
    <x v="5"/>
  </r>
  <r>
    <x v="5"/>
  </r>
  <r>
    <x v="11"/>
  </r>
  <r>
    <x v="1"/>
  </r>
  <r>
    <x v="2"/>
  </r>
  <r>
    <x v="33"/>
  </r>
  <r>
    <x v="9"/>
  </r>
  <r>
    <x v="3"/>
  </r>
  <r>
    <x v="5"/>
  </r>
  <r>
    <x v="7"/>
  </r>
  <r>
    <x v="11"/>
  </r>
  <r>
    <x v="8"/>
  </r>
  <r>
    <x v="9"/>
  </r>
  <r>
    <x v="1"/>
  </r>
  <r>
    <x v="3"/>
  </r>
  <r>
    <x v="2"/>
  </r>
  <r>
    <x v="9"/>
  </r>
  <r>
    <x v="5"/>
  </r>
  <r>
    <x v="5"/>
  </r>
  <r>
    <x v="2"/>
  </r>
  <r>
    <x v="3"/>
  </r>
  <r>
    <x v="5"/>
  </r>
  <r>
    <x v="6"/>
  </r>
  <r>
    <x v="1"/>
  </r>
  <r>
    <x v="8"/>
  </r>
  <r>
    <x v="1"/>
  </r>
  <r>
    <x v="9"/>
  </r>
  <r>
    <x v="5"/>
  </r>
  <r>
    <x v="5"/>
  </r>
  <r>
    <x v="16"/>
  </r>
  <r>
    <x v="2"/>
  </r>
  <r>
    <x v="5"/>
  </r>
  <r>
    <x v="28"/>
  </r>
  <r>
    <x v="16"/>
  </r>
  <r>
    <x v="5"/>
  </r>
  <r>
    <x v="8"/>
  </r>
  <r>
    <x v="5"/>
  </r>
  <r>
    <x v="9"/>
  </r>
  <r>
    <x v="9"/>
  </r>
  <r>
    <x v="9"/>
  </r>
  <r>
    <x v="2"/>
  </r>
  <r>
    <x v="9"/>
  </r>
  <r>
    <x v="9"/>
  </r>
  <r>
    <x v="11"/>
  </r>
  <r>
    <x v="5"/>
  </r>
  <r>
    <x v="11"/>
  </r>
  <r>
    <x v="5"/>
  </r>
  <r>
    <x v="9"/>
  </r>
  <r>
    <x v="2"/>
  </r>
  <r>
    <x v="11"/>
  </r>
  <r>
    <x v="9"/>
  </r>
  <r>
    <x v="5"/>
  </r>
  <r>
    <x v="9"/>
  </r>
  <r>
    <x v="5"/>
  </r>
  <r>
    <x v="5"/>
  </r>
  <r>
    <x v="5"/>
  </r>
  <r>
    <x v="5"/>
  </r>
  <r>
    <x v="5"/>
  </r>
  <r>
    <x v="6"/>
  </r>
  <r>
    <x v="2"/>
  </r>
  <r>
    <x v="29"/>
  </r>
  <r>
    <x v="16"/>
  </r>
  <r>
    <x v="1"/>
  </r>
  <r>
    <x v="9"/>
  </r>
  <r>
    <x v="9"/>
  </r>
  <r>
    <x v="6"/>
  </r>
  <r>
    <x v="2"/>
  </r>
  <r>
    <x v="5"/>
  </r>
  <r>
    <x v="2"/>
  </r>
  <r>
    <x v="35"/>
  </r>
  <r>
    <x v="9"/>
  </r>
  <r>
    <x v="9"/>
  </r>
  <r>
    <x v="7"/>
  </r>
  <r>
    <x v="5"/>
  </r>
  <r>
    <x v="9"/>
  </r>
  <r>
    <x v="2"/>
  </r>
  <r>
    <x v="5"/>
  </r>
  <r>
    <x v="2"/>
  </r>
  <r>
    <x v="5"/>
  </r>
  <r>
    <x v="8"/>
  </r>
  <r>
    <x v="9"/>
  </r>
  <r>
    <x v="1"/>
  </r>
  <r>
    <x v="8"/>
  </r>
  <r>
    <x v="9"/>
  </r>
  <r>
    <x v="5"/>
  </r>
  <r>
    <x v="5"/>
  </r>
  <r>
    <x v="2"/>
  </r>
  <r>
    <x v="5"/>
  </r>
  <r>
    <x v="9"/>
  </r>
  <r>
    <x v="5"/>
  </r>
  <r>
    <x v="5"/>
  </r>
  <r>
    <x v="22"/>
  </r>
  <r>
    <x v="16"/>
  </r>
  <r>
    <x v="5"/>
  </r>
  <r>
    <x v="5"/>
  </r>
  <r>
    <x v="2"/>
  </r>
  <r>
    <x v="5"/>
  </r>
  <r>
    <x v="16"/>
  </r>
  <r>
    <x v="9"/>
  </r>
  <r>
    <x v="9"/>
  </r>
  <r>
    <x v="12"/>
  </r>
  <r>
    <x v="5"/>
  </r>
  <r>
    <x v="16"/>
  </r>
  <r>
    <x v="5"/>
  </r>
  <r>
    <x v="16"/>
  </r>
  <r>
    <x v="9"/>
  </r>
  <r>
    <x v="14"/>
  </r>
  <r>
    <x v="9"/>
  </r>
  <r>
    <x v="5"/>
  </r>
  <r>
    <x v="16"/>
  </r>
  <r>
    <x v="16"/>
  </r>
  <r>
    <x v="5"/>
  </r>
  <r>
    <x v="2"/>
  </r>
  <r>
    <x v="8"/>
  </r>
  <r>
    <x v="2"/>
  </r>
  <r>
    <x v="2"/>
  </r>
  <r>
    <x v="5"/>
  </r>
  <r>
    <x v="5"/>
  </r>
  <r>
    <x v="8"/>
  </r>
  <r>
    <x v="5"/>
  </r>
  <r>
    <x v="8"/>
  </r>
  <r>
    <x v="31"/>
  </r>
  <r>
    <x v="5"/>
  </r>
  <r>
    <x v="2"/>
  </r>
  <r>
    <x v="16"/>
  </r>
  <r>
    <x v="8"/>
  </r>
  <r>
    <x v="5"/>
  </r>
  <r>
    <x v="8"/>
  </r>
  <r>
    <x v="2"/>
  </r>
  <r>
    <x v="12"/>
  </r>
  <r>
    <x v="31"/>
  </r>
  <r>
    <x v="2"/>
  </r>
  <r>
    <x v="16"/>
  </r>
  <r>
    <x v="5"/>
  </r>
  <r>
    <x v="5"/>
  </r>
  <r>
    <x v="5"/>
  </r>
  <r>
    <x v="5"/>
  </r>
  <r>
    <x v="17"/>
  </r>
  <r>
    <x v="14"/>
  </r>
  <r>
    <x v="5"/>
  </r>
  <r>
    <x v="5"/>
  </r>
  <r>
    <x v="5"/>
  </r>
  <r>
    <x v="5"/>
  </r>
  <r>
    <x v="5"/>
  </r>
  <r>
    <x v="5"/>
  </r>
  <r>
    <x v="16"/>
  </r>
  <r>
    <x v="16"/>
  </r>
  <r>
    <x v="14"/>
  </r>
  <r>
    <x v="16"/>
  </r>
  <r>
    <x v="17"/>
  </r>
  <r>
    <x v="16"/>
  </r>
  <r>
    <x v="16"/>
  </r>
  <r>
    <x v="16"/>
  </r>
  <r>
    <x v="17"/>
  </r>
  <r>
    <x v="28"/>
  </r>
  <r>
    <x v="16"/>
  </r>
  <r>
    <x v="16"/>
  </r>
  <r>
    <x v="16"/>
  </r>
  <r>
    <x v="16"/>
  </r>
  <r>
    <x v="16"/>
  </r>
  <r>
    <x v="17"/>
  </r>
  <r>
    <x v="21"/>
  </r>
  <r>
    <x v="12"/>
  </r>
  <r>
    <x v="16"/>
  </r>
  <r>
    <x v="16"/>
  </r>
  <r>
    <x v="16"/>
  </r>
  <r>
    <x v="17"/>
  </r>
  <r>
    <x v="16"/>
  </r>
  <r>
    <x v="16"/>
  </r>
  <r>
    <x v="34"/>
  </r>
  <r>
    <x v="14"/>
  </r>
  <r>
    <x v="14"/>
  </r>
  <r>
    <x v="14"/>
  </r>
  <r>
    <x v="28"/>
  </r>
  <r>
    <x v="14"/>
  </r>
  <r>
    <x v="17"/>
  </r>
  <r>
    <x v="16"/>
  </r>
  <r>
    <x v="14"/>
  </r>
  <r>
    <x v="17"/>
  </r>
  <r>
    <x v="17"/>
  </r>
  <r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:C39" firstHeaderRow="1" firstDataRow="1" firstDataCol="1"/>
  <pivotFields count="1">
    <pivotField axis="axisRow" dataField="1" showAll="0">
      <items count="37">
        <item x="1"/>
        <item x="3"/>
        <item x="13"/>
        <item x="19"/>
        <item x="20"/>
        <item x="10"/>
        <item x="32"/>
        <item x="22"/>
        <item x="21"/>
        <item x="26"/>
        <item x="12"/>
        <item x="25"/>
        <item x="5"/>
        <item x="9"/>
        <item x="2"/>
        <item x="16"/>
        <item x="18"/>
        <item x="27"/>
        <item x="15"/>
        <item x="28"/>
        <item x="8"/>
        <item x="17"/>
        <item x="14"/>
        <item x="34"/>
        <item x="35"/>
        <item x="11"/>
        <item x="6"/>
        <item x="4"/>
        <item x="29"/>
        <item x="24"/>
        <item x="30"/>
        <item x="0"/>
        <item x="23"/>
        <item x="33"/>
        <item x="31"/>
        <item x="7"/>
        <item t="default"/>
      </items>
    </pivotField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Count of CATISTRAT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oak-srv-fil-001.kema.intra\oa-kcg-cmn\Projects\CPUC%20-%202010-2012%20EM&amp;V\1_WO%20Folders\KEMA035%20-%20Impact%20-%20Appliance%20Recycling\Reporting\FOR%20FUTURE-Delivery%20of%20Data\Retail%20Market%20Actor%20Analyses\1.%20Incoming-Outgoing%20Volumes%20by%20Market%20Actor%20v4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3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7" Type="http://schemas.openxmlformats.org/officeDocument/2006/relationships/comments" Target="../comments6.xml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1170"/>
  <sheetViews>
    <sheetView workbookViewId="0">
      <pane ySplit="1" topLeftCell="A2" activePane="bottomLeft" state="frozen"/>
      <selection pane="bottomLeft" activeCell="F4" sqref="F4"/>
    </sheetView>
  </sheetViews>
  <sheetFormatPr defaultColWidth="9.109375" defaultRowHeight="14.4"/>
  <cols>
    <col min="1" max="1" width="7.5546875" style="916" customWidth="1"/>
    <col min="2" max="2" width="2.33203125" style="916" customWidth="1"/>
    <col min="3" max="3" width="18.44140625" style="916" customWidth="1"/>
    <col min="4" max="4" width="21" style="916" customWidth="1"/>
    <col min="5" max="5" width="26" style="916" customWidth="1"/>
    <col min="6" max="6" width="23.5546875" style="916" customWidth="1"/>
    <col min="7" max="7" width="14.88671875" style="916" customWidth="1"/>
    <col min="8" max="8" width="43.6640625" style="916" customWidth="1"/>
    <col min="9" max="9" width="16" style="916" customWidth="1"/>
    <col min="10" max="10" width="17.109375" style="916" customWidth="1"/>
    <col min="11" max="11" width="17.5546875" style="916" customWidth="1"/>
    <col min="12" max="12" width="14.5546875" style="916" customWidth="1"/>
    <col min="13" max="13" width="15.5546875" style="916" customWidth="1"/>
    <col min="14" max="14" width="15.33203125" style="916" customWidth="1"/>
    <col min="15" max="15" width="14.5546875" style="916" customWidth="1"/>
    <col min="16" max="16" width="15.5546875" style="916" customWidth="1"/>
    <col min="17" max="17" width="10.109375" style="916" customWidth="1"/>
    <col min="18" max="18" width="9.44140625" style="916" customWidth="1"/>
    <col min="19" max="19" width="13.88671875" style="916" customWidth="1"/>
    <col min="20" max="20" width="11.88671875" style="916" bestFit="1" customWidth="1"/>
    <col min="21" max="21" width="7" style="916" bestFit="1" customWidth="1"/>
    <col min="22" max="22" width="17" style="916" customWidth="1"/>
    <col min="23" max="24" width="11.109375" style="916" bestFit="1" customWidth="1"/>
    <col min="25" max="26" width="15" style="916" bestFit="1" customWidth="1"/>
    <col min="27" max="16384" width="9.109375" style="916"/>
  </cols>
  <sheetData>
    <row r="1" spans="1:26">
      <c r="A1" s="916" t="s">
        <v>794</v>
      </c>
      <c r="Z1" s="1047" t="s">
        <v>622</v>
      </c>
    </row>
    <row r="2" spans="1:26" ht="15" thickBot="1">
      <c r="C2" s="822" t="s">
        <v>618</v>
      </c>
      <c r="H2" s="1036" t="s">
        <v>876</v>
      </c>
      <c r="I2" s="822" t="s">
        <v>875</v>
      </c>
      <c r="Z2" s="1047" t="s">
        <v>622</v>
      </c>
    </row>
    <row r="3" spans="1:26" ht="27" thickBot="1">
      <c r="A3" s="786"/>
      <c r="C3" s="1027" t="s">
        <v>0</v>
      </c>
      <c r="D3" s="1028" t="s">
        <v>332</v>
      </c>
      <c r="E3" s="1026" t="s">
        <v>354</v>
      </c>
      <c r="F3" s="1029" t="s">
        <v>355</v>
      </c>
      <c r="G3" s="1029" t="s">
        <v>356</v>
      </c>
      <c r="Z3" s="1047" t="s">
        <v>622</v>
      </c>
    </row>
    <row r="4" spans="1:26" ht="15" customHeight="1" thickBot="1">
      <c r="A4" s="786"/>
      <c r="C4" s="1704" t="s">
        <v>17</v>
      </c>
      <c r="D4" s="1030" t="s">
        <v>357</v>
      </c>
      <c r="E4" s="1032">
        <f>Verification!M202</f>
        <v>55742</v>
      </c>
      <c r="F4" s="1239">
        <f>Verification!N202</f>
        <v>0.98042507590641181</v>
      </c>
      <c r="G4" s="1032">
        <f>Verification!O202</f>
        <v>54650.854581175205</v>
      </c>
      <c r="I4" s="568">
        <f>G4/(G4+G7+G9)</f>
        <v>0.19832684545200538</v>
      </c>
      <c r="J4" s="568">
        <f>I4*G16</f>
        <v>68.239885906139662</v>
      </c>
      <c r="Z4" s="1047" t="s">
        <v>622</v>
      </c>
    </row>
    <row r="5" spans="1:26" ht="15" customHeight="1" thickBot="1">
      <c r="A5" s="786"/>
      <c r="C5" s="1705"/>
      <c r="D5" s="1030" t="s">
        <v>358</v>
      </c>
      <c r="E5" s="1032">
        <f>Verification!M203</f>
        <v>7147</v>
      </c>
      <c r="F5" s="1031">
        <f>Verification!N203</f>
        <v>1.0807279043138116</v>
      </c>
      <c r="G5" s="1032">
        <f>Verification!O203</f>
        <v>7723.9623321308118</v>
      </c>
      <c r="Z5" s="1047" t="s">
        <v>622</v>
      </c>
    </row>
    <row r="6" spans="1:26" ht="15" customHeight="1" thickBot="1">
      <c r="A6" s="786"/>
      <c r="C6" s="1706"/>
      <c r="D6" s="1030" t="s">
        <v>334</v>
      </c>
      <c r="E6" s="1032">
        <f>Verification!M204</f>
        <v>815</v>
      </c>
      <c r="F6" s="1031" t="str">
        <f>Verification!N204</f>
        <v>n/a</v>
      </c>
      <c r="G6" s="1032">
        <f>Verification!O204</f>
        <v>815</v>
      </c>
      <c r="Z6" s="1047" t="s">
        <v>622</v>
      </c>
    </row>
    <row r="7" spans="1:26" ht="15" customHeight="1" thickBot="1">
      <c r="A7" s="786"/>
      <c r="C7" s="1704" t="s">
        <v>18</v>
      </c>
      <c r="D7" s="1030" t="s">
        <v>101</v>
      </c>
      <c r="E7" s="1032">
        <f>Verification!M205</f>
        <v>183225</v>
      </c>
      <c r="F7" s="1031">
        <f>Verification!N205</f>
        <v>0.98514710082833479</v>
      </c>
      <c r="G7" s="1032">
        <f>Verification!O205</f>
        <v>180503.57754927163</v>
      </c>
      <c r="I7" s="568">
        <f>G7/(G4+G7+G9)</f>
        <v>0.65504383055849835</v>
      </c>
      <c r="J7" s="568">
        <f>I7*G17</f>
        <v>230.82817447836044</v>
      </c>
      <c r="Z7" s="1047" t="s">
        <v>622</v>
      </c>
    </row>
    <row r="8" spans="1:26" ht="15" customHeight="1" thickBot="1">
      <c r="A8" s="786"/>
      <c r="C8" s="1706"/>
      <c r="D8" s="1030" t="s">
        <v>25</v>
      </c>
      <c r="E8" s="1032">
        <f>Verification!M206</f>
        <v>15551</v>
      </c>
      <c r="F8" s="1031">
        <f>Verification!N206</f>
        <v>1.0073772031050661</v>
      </c>
      <c r="G8" s="1032">
        <f>Verification!O206</f>
        <v>15665.722885486883</v>
      </c>
      <c r="Z8" s="1047" t="s">
        <v>622</v>
      </c>
    </row>
    <row r="9" spans="1:26" ht="15" customHeight="1" thickBot="1">
      <c r="A9" s="786"/>
      <c r="C9" s="1704" t="s">
        <v>4</v>
      </c>
      <c r="D9" s="1030" t="s">
        <v>101</v>
      </c>
      <c r="E9" s="1032">
        <f>Verification!M207</f>
        <v>40893</v>
      </c>
      <c r="F9" s="1031">
        <f>Verification!N207</f>
        <v>0.988069089456869</v>
      </c>
      <c r="G9" s="1032">
        <f>Verification!O207</f>
        <v>40405.109275159746</v>
      </c>
      <c r="I9" s="568">
        <f>G9/(G4+G7+G9)</f>
        <v>0.14662932398949646</v>
      </c>
      <c r="J9" s="568">
        <f>I9*G18</f>
        <v>39.826075901848732</v>
      </c>
      <c r="Z9" s="1047" t="s">
        <v>622</v>
      </c>
    </row>
    <row r="10" spans="1:26" ht="15" customHeight="1" thickBot="1">
      <c r="A10" s="786"/>
      <c r="C10" s="1705"/>
      <c r="D10" s="1030" t="s">
        <v>25</v>
      </c>
      <c r="E10" s="1032">
        <f>Verification!M208</f>
        <v>4420</v>
      </c>
      <c r="F10" s="1031">
        <f>Verification!N208</f>
        <v>1</v>
      </c>
      <c r="G10" s="1032">
        <f>Verification!O208</f>
        <v>4420</v>
      </c>
      <c r="J10" s="568">
        <f>SUM(J4:J9)</f>
        <v>338.89413628634884</v>
      </c>
      <c r="Z10" s="1047" t="s">
        <v>622</v>
      </c>
    </row>
    <row r="11" spans="1:26" ht="15" customHeight="1" thickBot="1">
      <c r="A11" s="786"/>
      <c r="C11" s="1706"/>
      <c r="D11" s="1030" t="s">
        <v>334</v>
      </c>
      <c r="E11" s="1032">
        <f>Verification!M209</f>
        <v>744</v>
      </c>
      <c r="F11" s="1031" t="str">
        <f>Verification!N209</f>
        <v>n/a</v>
      </c>
      <c r="G11" s="1032">
        <f>Verification!O209</f>
        <v>744</v>
      </c>
      <c r="Z11" s="1047" t="s">
        <v>622</v>
      </c>
    </row>
    <row r="12" spans="1:26">
      <c r="A12" s="786"/>
      <c r="G12" s="574">
        <f>SUM(G4:G11)</f>
        <v>304928.22662322427</v>
      </c>
      <c r="Z12" s="1047" t="s">
        <v>622</v>
      </c>
    </row>
    <row r="13" spans="1:26">
      <c r="A13" s="786"/>
      <c r="C13" s="822" t="s">
        <v>559</v>
      </c>
      <c r="Z13" s="1047" t="s">
        <v>622</v>
      </c>
    </row>
    <row r="14" spans="1:26" ht="39">
      <c r="A14" s="786"/>
      <c r="C14" s="1247" t="s">
        <v>0</v>
      </c>
      <c r="D14" s="1248" t="s">
        <v>554</v>
      </c>
      <c r="E14" s="1172" t="s">
        <v>566</v>
      </c>
      <c r="F14" s="1249" t="s">
        <v>838</v>
      </c>
      <c r="G14" s="1172" t="s">
        <v>288</v>
      </c>
      <c r="H14" s="1249" t="s">
        <v>839</v>
      </c>
      <c r="I14" s="1172" t="s">
        <v>979</v>
      </c>
      <c r="Z14" s="1047" t="s">
        <v>622</v>
      </c>
    </row>
    <row r="15" spans="1:26" ht="15.75" customHeight="1">
      <c r="A15" s="786"/>
      <c r="C15" s="1582" t="s">
        <v>290</v>
      </c>
      <c r="D15" s="1582"/>
      <c r="E15" s="1582"/>
      <c r="F15" s="1582"/>
      <c r="G15" s="1582"/>
      <c r="H15" s="1582"/>
      <c r="I15" s="1582"/>
      <c r="Z15" s="1047" t="s">
        <v>622</v>
      </c>
    </row>
    <row r="16" spans="1:26">
      <c r="A16" s="786"/>
      <c r="C16" s="1136" t="s">
        <v>256</v>
      </c>
      <c r="D16" s="1250">
        <v>738</v>
      </c>
      <c r="E16" s="1251">
        <f>'Statewide PGE REF NTG'!Z37</f>
        <v>510.09581670678864</v>
      </c>
      <c r="F16" s="1252">
        <f>'Statewide PGE REF NTG'!Z44</f>
        <v>0.26109325241397136</v>
      </c>
      <c r="G16" s="1253">
        <f>'Statewide PGE REF NTG'!AB37</f>
        <v>344.07790710639603</v>
      </c>
      <c r="H16" s="1252">
        <f>'Statewide PGE REF NTG'!AB44</f>
        <v>0.27986305295674968</v>
      </c>
      <c r="I16" s="1254">
        <f>'Statewide PGE REF NTG'!AD37</f>
        <v>0.67453583392976069</v>
      </c>
      <c r="Z16" s="1047" t="s">
        <v>622</v>
      </c>
    </row>
    <row r="17" spans="1:26">
      <c r="A17" s="786"/>
      <c r="C17" s="1136" t="s">
        <v>18</v>
      </c>
      <c r="D17" s="1250">
        <v>835</v>
      </c>
      <c r="E17" s="1251">
        <f>'Statewide SCE REF NTG'!Z37</f>
        <v>518.661962675778</v>
      </c>
      <c r="F17" s="1252">
        <f>'Statewide SCE REF NTG'!Z44</f>
        <v>0.24822026481977566</v>
      </c>
      <c r="G17" s="1253">
        <f>'Statewide SCE REF NTG'!AB37</f>
        <v>352.3858461220122</v>
      </c>
      <c r="H17" s="1252">
        <f>'Statewide SCE REF NTG'!AB44</f>
        <v>0.26461509363509234</v>
      </c>
      <c r="I17" s="1254">
        <f>'Statewide SCE REF NTG'!AD37</f>
        <v>0.67941332019809775</v>
      </c>
      <c r="Z17" s="1047" t="s">
        <v>622</v>
      </c>
    </row>
    <row r="18" spans="1:26">
      <c r="A18" s="786"/>
      <c r="C18" s="1136" t="s">
        <v>257</v>
      </c>
      <c r="D18" s="1250">
        <v>957</v>
      </c>
      <c r="E18" s="1251">
        <f>'Statewide SDGE REF NTG'!Z37</f>
        <v>384.8198519912296</v>
      </c>
      <c r="F18" s="1252">
        <f>'Statewide SDGE REF NTG'!Z44</f>
        <v>0.25977100592214508</v>
      </c>
      <c r="G18" s="1253">
        <f>'Statewide SDGE REF NTG'!AB37</f>
        <v>271.61058114611239</v>
      </c>
      <c r="H18" s="1252">
        <f>'Statewide SDGE REF NTG'!AB44</f>
        <v>0.28346961526212694</v>
      </c>
      <c r="I18" s="1254">
        <f>'Statewide SDGE REF NTG'!AD37</f>
        <v>0.70581229045403471</v>
      </c>
      <c r="Z18" s="1047" t="s">
        <v>622</v>
      </c>
    </row>
    <row r="19" spans="1:26" ht="15.75" customHeight="1">
      <c r="A19" s="786"/>
      <c r="C19" s="1582" t="s">
        <v>289</v>
      </c>
      <c r="D19" s="1582"/>
      <c r="E19" s="1582"/>
      <c r="F19" s="1582"/>
      <c r="G19" s="1582"/>
      <c r="H19" s="1582"/>
      <c r="I19" s="1582"/>
      <c r="Z19" s="1047" t="s">
        <v>622</v>
      </c>
    </row>
    <row r="20" spans="1:26">
      <c r="A20" s="786"/>
      <c r="C20" s="1136" t="s">
        <v>161</v>
      </c>
      <c r="D20" s="1255">
        <v>818</v>
      </c>
      <c r="E20" s="1253">
        <f>'All IOU FRZ NTG'!AQ28</f>
        <v>770.91180802081556</v>
      </c>
      <c r="F20" s="1252">
        <f>'All IOU FRZ NTG'!AQ36</f>
        <v>0.18016516944246933</v>
      </c>
      <c r="G20" s="1253">
        <f>'All IOU FRZ NTG'!AS28</f>
        <v>576.69338243259187</v>
      </c>
      <c r="H20" s="1252">
        <f>'All IOU FRZ NTG'!AS36</f>
        <v>0.21471247373732646</v>
      </c>
      <c r="I20" s="1254">
        <f>'All IOU FRZ NTG'!AU28</f>
        <v>0.74806660947787751</v>
      </c>
      <c r="Z20" s="1047" t="s">
        <v>622</v>
      </c>
    </row>
    <row r="21" spans="1:26">
      <c r="A21" s="786"/>
      <c r="Z21" s="1047" t="s">
        <v>622</v>
      </c>
    </row>
    <row r="22" spans="1:26">
      <c r="A22" s="786"/>
      <c r="Z22" s="1047" t="s">
        <v>622</v>
      </c>
    </row>
    <row r="23" spans="1:26">
      <c r="A23" s="786"/>
      <c r="Z23" s="1047" t="s">
        <v>622</v>
      </c>
    </row>
    <row r="24" spans="1:26">
      <c r="A24" s="786"/>
      <c r="Z24" s="1047" t="s">
        <v>622</v>
      </c>
    </row>
    <row r="25" spans="1:26">
      <c r="A25" s="786"/>
      <c r="C25" s="822" t="s">
        <v>619</v>
      </c>
      <c r="F25" s="916" t="s">
        <v>983</v>
      </c>
      <c r="Z25" s="1047" t="s">
        <v>622</v>
      </c>
    </row>
    <row r="26" spans="1:26">
      <c r="A26" s="786"/>
      <c r="C26" s="822" t="s">
        <v>551</v>
      </c>
      <c r="Z26" s="1047" t="s">
        <v>622</v>
      </c>
    </row>
    <row r="27" spans="1:26" ht="25.2">
      <c r="A27" s="786"/>
      <c r="C27" s="1119" t="s">
        <v>0</v>
      </c>
      <c r="D27" s="1119" t="s">
        <v>366</v>
      </c>
      <c r="E27" s="1119" t="s">
        <v>361</v>
      </c>
      <c r="F27" s="1119" t="s">
        <v>362</v>
      </c>
      <c r="G27" s="1119" t="s">
        <v>363</v>
      </c>
      <c r="H27" s="1384" t="s">
        <v>1000</v>
      </c>
      <c r="Z27" s="1047" t="s">
        <v>622</v>
      </c>
    </row>
    <row r="28" spans="1:26">
      <c r="A28" s="786"/>
      <c r="C28" s="1699" t="s">
        <v>256</v>
      </c>
      <c r="D28" s="1041" t="s">
        <v>241</v>
      </c>
      <c r="E28" s="1116">
        <f>Program_Claims!O8</f>
        <v>41137792</v>
      </c>
      <c r="F28" s="1116">
        <f>G4*E16</f>
        <v>27877172.301308509</v>
      </c>
      <c r="G28" s="1117">
        <f>F28/E28</f>
        <v>0.67765358678726628</v>
      </c>
      <c r="H28" s="1402" t="str">
        <f>"± "&amp;ROUND(F16,2)*100&amp;"%"</f>
        <v>± 26%</v>
      </c>
      <c r="Z28" s="1047" t="s">
        <v>622</v>
      </c>
    </row>
    <row r="29" spans="1:26">
      <c r="A29" s="786"/>
      <c r="C29" s="1699"/>
      <c r="D29" s="1041" t="s">
        <v>360</v>
      </c>
      <c r="E29" s="1117">
        <v>0.61</v>
      </c>
      <c r="F29" s="1117">
        <f>F30/F28</f>
        <v>0.67453583392976058</v>
      </c>
      <c r="G29" s="1120"/>
      <c r="H29" s="1120"/>
      <c r="Z29" s="1047" t="s">
        <v>622</v>
      </c>
    </row>
    <row r="30" spans="1:26">
      <c r="A30" s="786"/>
      <c r="C30" s="1699"/>
      <c r="D30" s="1041" t="s">
        <v>128</v>
      </c>
      <c r="E30" s="1116">
        <f>E28*E29</f>
        <v>25094053.120000001</v>
      </c>
      <c r="F30" s="1116">
        <f>G4*G16</f>
        <v>18804151.665866759</v>
      </c>
      <c r="G30" s="1117">
        <f t="shared" ref="G30" si="0">F30/E30</f>
        <v>0.74934692996564267</v>
      </c>
      <c r="H30" s="1117" t="str">
        <f>"± "&amp;ROUND(H16,2)*100&amp;"%"</f>
        <v>± 28%</v>
      </c>
      <c r="Z30" s="1047" t="s">
        <v>622</v>
      </c>
    </row>
    <row r="31" spans="1:26">
      <c r="A31" s="786"/>
      <c r="C31" s="1699" t="s">
        <v>18</v>
      </c>
      <c r="D31" s="1041" t="s">
        <v>241</v>
      </c>
      <c r="E31" s="1116">
        <f>Program_Claims!O11</f>
        <v>153059770</v>
      </c>
      <c r="F31" s="1116">
        <f>G7*E17</f>
        <v>93620339.80170472</v>
      </c>
      <c r="G31" s="1117">
        <f>F31/E31</f>
        <v>0.61165869909320203</v>
      </c>
      <c r="H31" s="1117" t="str">
        <f>"± "&amp;ROUND(F17,2)*100&amp;"%"</f>
        <v>± 25%</v>
      </c>
      <c r="Z31" s="1047" t="s">
        <v>622</v>
      </c>
    </row>
    <row r="32" spans="1:26">
      <c r="A32" s="786"/>
      <c r="C32" s="1699"/>
      <c r="D32" s="1041" t="s">
        <v>360</v>
      </c>
      <c r="E32" s="1121">
        <v>0.61499999999999999</v>
      </c>
      <c r="F32" s="1117">
        <f>F33/F31</f>
        <v>0.67941332019809775</v>
      </c>
      <c r="G32" s="1120"/>
      <c r="H32" s="1120"/>
      <c r="Z32" s="1047" t="s">
        <v>622</v>
      </c>
    </row>
    <row r="33" spans="1:26">
      <c r="A33" s="786"/>
      <c r="C33" s="1699"/>
      <c r="D33" s="1041" t="s">
        <v>128</v>
      </c>
      <c r="E33" s="1403">
        <f>E31*E32</f>
        <v>94131758.549999997</v>
      </c>
      <c r="F33" s="1116">
        <f>G7*G17</f>
        <v>63606905.902750328</v>
      </c>
      <c r="G33" s="1117">
        <f>F33/E33</f>
        <v>0.67572206110400268</v>
      </c>
      <c r="H33" s="1117" t="str">
        <f>"± "&amp;ROUND(H17,2)*100&amp;"%"</f>
        <v>± 26%</v>
      </c>
      <c r="Z33" s="1047" t="s">
        <v>622</v>
      </c>
    </row>
    <row r="34" spans="1:26">
      <c r="A34" s="786"/>
      <c r="C34" s="1699" t="s">
        <v>257</v>
      </c>
      <c r="D34" s="1041" t="s">
        <v>241</v>
      </c>
      <c r="E34" s="1116">
        <f>Program_Claims!O13</f>
        <v>39149035</v>
      </c>
      <c r="F34" s="1116">
        <f>G9*E18</f>
        <v>15548688.170956431</v>
      </c>
      <c r="G34" s="1117">
        <f>F34/E34</f>
        <v>0.39716657565011326</v>
      </c>
      <c r="H34" s="1117" t="str">
        <f>"± "&amp;ROUND(F18,2)*100&amp;"%"</f>
        <v>± 26%</v>
      </c>
      <c r="Z34" s="1047" t="s">
        <v>622</v>
      </c>
    </row>
    <row r="35" spans="1:26">
      <c r="A35" s="786"/>
      <c r="C35" s="1699"/>
      <c r="D35" s="1041" t="s">
        <v>360</v>
      </c>
      <c r="E35" s="1117">
        <v>0.61399999999999999</v>
      </c>
      <c r="F35" s="1117">
        <f>F36/F34</f>
        <v>0.70581229045403471</v>
      </c>
      <c r="G35" s="1120"/>
      <c r="H35" s="1120"/>
      <c r="Z35" s="1047" t="s">
        <v>622</v>
      </c>
    </row>
    <row r="36" spans="1:26">
      <c r="A36" s="786"/>
      <c r="C36" s="1699"/>
      <c r="D36" s="1041" t="s">
        <v>128</v>
      </c>
      <c r="E36" s="1116">
        <f>E34*E35</f>
        <v>24037507.489999998</v>
      </c>
      <c r="F36" s="1116">
        <f>G9*G18</f>
        <v>10974455.211498315</v>
      </c>
      <c r="G36" s="1117">
        <f>F36/E36</f>
        <v>0.45655545676122494</v>
      </c>
      <c r="H36" s="1117" t="str">
        <f>"± "&amp;ROUND(H18,2)*100&amp;"%"</f>
        <v>± 28%</v>
      </c>
      <c r="Z36" s="1047" t="s">
        <v>622</v>
      </c>
    </row>
    <row r="37" spans="1:26">
      <c r="A37" s="786"/>
      <c r="C37" s="1702"/>
      <c r="D37" s="1703"/>
      <c r="E37" s="1703"/>
      <c r="F37" s="1703"/>
      <c r="G37" s="1703"/>
      <c r="H37" s="1703"/>
      <c r="Z37" s="1047" t="s">
        <v>622</v>
      </c>
    </row>
    <row r="38" spans="1:26">
      <c r="A38" s="786"/>
      <c r="C38" s="1699" t="s">
        <v>5</v>
      </c>
      <c r="D38" s="1041" t="s">
        <v>241</v>
      </c>
      <c r="E38" s="1116">
        <f>E28+E31+E34</f>
        <v>233346597</v>
      </c>
      <c r="F38" s="1116">
        <f>F28+F31+F34</f>
        <v>137046200.27396965</v>
      </c>
      <c r="G38" s="1117">
        <f>F38/E38</f>
        <v>0.58730747324320165</v>
      </c>
      <c r="H38" s="1117" t="str">
        <f>"± "&amp;ROUND(J38,2)*100&amp;"%"</f>
        <v>± 25%</v>
      </c>
      <c r="J38" s="418">
        <f>AVERAGE(F16,F17)</f>
        <v>0.25465675861687354</v>
      </c>
      <c r="Z38" s="1047" t="s">
        <v>622</v>
      </c>
    </row>
    <row r="39" spans="1:26">
      <c r="A39" s="786"/>
      <c r="C39" s="1699"/>
      <c r="D39" s="1041" t="s">
        <v>360</v>
      </c>
      <c r="E39" s="1117">
        <f>E40/E38</f>
        <v>0.61395075395078502</v>
      </c>
      <c r="F39" s="1117">
        <f>F40/F38</f>
        <v>0.68141628584687519</v>
      </c>
      <c r="G39" s="1120"/>
      <c r="H39" s="1120"/>
      <c r="Z39" s="1047" t="s">
        <v>622</v>
      </c>
    </row>
    <row r="40" spans="1:26">
      <c r="A40" s="786"/>
      <c r="C40" s="1699"/>
      <c r="D40" s="1041" t="s">
        <v>128</v>
      </c>
      <c r="E40" s="1116">
        <f>E30+E33+E36</f>
        <v>143263319.16</v>
      </c>
      <c r="F40" s="1116">
        <f>F30+F33+F36</f>
        <v>93385512.780115411</v>
      </c>
      <c r="G40" s="1117">
        <f>F40/E40</f>
        <v>0.65184524083111728</v>
      </c>
      <c r="H40" s="1117" t="str">
        <f>"± "&amp;ROUND(J40,2)*100&amp;"%"</f>
        <v>± 27%</v>
      </c>
      <c r="J40" s="418">
        <f>AVERAGE(H16,H17)</f>
        <v>0.27223907329592101</v>
      </c>
      <c r="Z40" s="1047" t="s">
        <v>622</v>
      </c>
    </row>
    <row r="41" spans="1:26">
      <c r="A41" s="786"/>
      <c r="Z41" s="1047" t="s">
        <v>622</v>
      </c>
    </row>
    <row r="42" spans="1:26">
      <c r="A42" s="786"/>
      <c r="Z42" s="1047" t="s">
        <v>622</v>
      </c>
    </row>
    <row r="43" spans="1:26">
      <c r="A43" s="786"/>
      <c r="C43" s="822" t="s">
        <v>621</v>
      </c>
      <c r="F43" s="916" t="s">
        <v>984</v>
      </c>
      <c r="Z43" s="1047" t="s">
        <v>622</v>
      </c>
    </row>
    <row r="44" spans="1:26">
      <c r="A44" s="786"/>
      <c r="C44" s="822" t="s">
        <v>626</v>
      </c>
      <c r="Z44" s="1047" t="s">
        <v>622</v>
      </c>
    </row>
    <row r="45" spans="1:26" ht="25.2">
      <c r="A45" s="786"/>
      <c r="C45" s="1119" t="s">
        <v>0</v>
      </c>
      <c r="D45" s="1119" t="s">
        <v>366</v>
      </c>
      <c r="E45" s="1122" t="s">
        <v>361</v>
      </c>
      <c r="F45" s="1122" t="s">
        <v>362</v>
      </c>
      <c r="G45" s="1119" t="s">
        <v>363</v>
      </c>
      <c r="H45" s="1384" t="s">
        <v>1000</v>
      </c>
      <c r="Z45" s="1047"/>
    </row>
    <row r="46" spans="1:26">
      <c r="A46" s="786"/>
      <c r="C46" s="1700" t="s">
        <v>620</v>
      </c>
      <c r="D46" s="500" t="s">
        <v>241</v>
      </c>
      <c r="E46" s="1123">
        <f>Program_Claims!O17</f>
        <v>22193427</v>
      </c>
      <c r="F46" s="1123">
        <f>(G5+G8+G10)*E20</f>
        <v>21438814.711603403</v>
      </c>
      <c r="G46" s="1124">
        <f>F46/E46</f>
        <v>0.96599838824366346</v>
      </c>
      <c r="H46" s="1117" t="str">
        <f>"± "&amp;ROUND(F20,2)*100&amp;"%"</f>
        <v>± 18%</v>
      </c>
      <c r="Z46" s="1047" t="s">
        <v>622</v>
      </c>
    </row>
    <row r="47" spans="1:26">
      <c r="A47" s="786"/>
      <c r="C47" s="1700"/>
      <c r="D47" s="500" t="s">
        <v>360</v>
      </c>
      <c r="E47" s="1125">
        <v>0.7</v>
      </c>
      <c r="F47" s="1127">
        <f>F48/F46</f>
        <v>0.74806660947787751</v>
      </c>
      <c r="G47" s="1120"/>
      <c r="H47" s="1120"/>
      <c r="Z47" s="1047" t="s">
        <v>622</v>
      </c>
    </row>
    <row r="48" spans="1:26">
      <c r="A48" s="786"/>
      <c r="C48" s="1700"/>
      <c r="D48" s="500" t="s">
        <v>128</v>
      </c>
      <c r="E48" s="1126">
        <f>E46*E47</f>
        <v>15535398.899999999</v>
      </c>
      <c r="F48" s="1123">
        <f>(G5+G8+G10)*G20</f>
        <v>16037661.432533598</v>
      </c>
      <c r="G48" s="1124">
        <f>F48/E48</f>
        <v>1.032330198649331</v>
      </c>
      <c r="H48" s="1117" t="str">
        <f>"± "&amp;ROUND(H20,2)*100&amp;"%"</f>
        <v>± 21%</v>
      </c>
      <c r="Z48" s="1047" t="s">
        <v>622</v>
      </c>
    </row>
    <row r="49" spans="1:26">
      <c r="A49" s="786"/>
      <c r="Z49" s="1047" t="s">
        <v>622</v>
      </c>
    </row>
    <row r="50" spans="1:26">
      <c r="A50" s="786"/>
      <c r="F50" s="186">
        <f>F38+F46</f>
        <v>158485014.98557305</v>
      </c>
      <c r="Z50" s="1047" t="s">
        <v>622</v>
      </c>
    </row>
    <row r="51" spans="1:26">
      <c r="A51" s="786"/>
      <c r="Z51" s="1047" t="s">
        <v>622</v>
      </c>
    </row>
    <row r="52" spans="1:26">
      <c r="A52" s="786"/>
      <c r="Z52" s="1047" t="s">
        <v>622</v>
      </c>
    </row>
    <row r="53" spans="1:26">
      <c r="A53" s="786"/>
      <c r="C53" s="822" t="s">
        <v>623</v>
      </c>
      <c r="D53"/>
      <c r="E53"/>
      <c r="F53"/>
      <c r="G53"/>
      <c r="Z53" s="1047" t="s">
        <v>622</v>
      </c>
    </row>
    <row r="54" spans="1:26">
      <c r="A54" s="786"/>
      <c r="C54" s="822" t="s">
        <v>985</v>
      </c>
      <c r="Z54" s="1047" t="s">
        <v>622</v>
      </c>
    </row>
    <row r="55" spans="1:26" ht="25.2">
      <c r="A55" s="786"/>
      <c r="C55" s="1119" t="s">
        <v>0</v>
      </c>
      <c r="D55" s="1119" t="s">
        <v>366</v>
      </c>
      <c r="E55" s="1122" t="s">
        <v>361</v>
      </c>
      <c r="F55" s="1122" t="s">
        <v>362</v>
      </c>
      <c r="G55" s="1119" t="s">
        <v>624</v>
      </c>
      <c r="Z55" s="1047" t="s">
        <v>622</v>
      </c>
    </row>
    <row r="56" spans="1:26">
      <c r="A56" s="786"/>
      <c r="C56" s="1701" t="s">
        <v>256</v>
      </c>
      <c r="D56" s="500" t="s">
        <v>241</v>
      </c>
      <c r="E56" s="1123">
        <f>Program_Claims!P8</f>
        <v>9141</v>
      </c>
      <c r="F56" s="1126">
        <f>G4*'kW Claims'!P5</f>
        <v>6194.2010346028928</v>
      </c>
      <c r="G56" s="1124">
        <f>F56/E56</f>
        <v>0.6776283814246683</v>
      </c>
      <c r="Z56" s="1047" t="s">
        <v>622</v>
      </c>
    </row>
    <row r="57" spans="1:26" ht="21" customHeight="1">
      <c r="A57" s="786"/>
      <c r="C57" s="1701"/>
      <c r="D57" s="500" t="s">
        <v>360</v>
      </c>
      <c r="E57" s="1125">
        <v>0.61</v>
      </c>
      <c r="F57" s="1127">
        <f>F58/F56</f>
        <v>0.67453583392976058</v>
      </c>
      <c r="G57" s="1120"/>
      <c r="Z57" s="1047" t="s">
        <v>622</v>
      </c>
    </row>
    <row r="58" spans="1:26">
      <c r="A58" s="786"/>
      <c r="C58" s="1701"/>
      <c r="D58" s="500" t="s">
        <v>128</v>
      </c>
      <c r="E58" s="1123">
        <f>E56*E57</f>
        <v>5576.01</v>
      </c>
      <c r="F58" s="1126">
        <f>G4*'kW Claims'!R5</f>
        <v>4178.2105604044482</v>
      </c>
      <c r="G58" s="1124">
        <f t="shared" ref="G58" si="1">F58/E58</f>
        <v>0.74931905796518439</v>
      </c>
      <c r="Z58" s="1047" t="s">
        <v>622</v>
      </c>
    </row>
    <row r="59" spans="1:26">
      <c r="A59" s="786"/>
      <c r="C59" s="1701" t="s">
        <v>18</v>
      </c>
      <c r="D59" s="500" t="s">
        <v>241</v>
      </c>
      <c r="E59" s="1123">
        <f>Program_Claims!P11</f>
        <v>29641</v>
      </c>
      <c r="F59" s="1126">
        <f>G7*'kW Claims'!P7</f>
        <v>18130.438474406437</v>
      </c>
      <c r="G59" s="1124">
        <f>F59/E59</f>
        <v>0.61166757108081504</v>
      </c>
      <c r="Z59" s="1047" t="s">
        <v>622</v>
      </c>
    </row>
    <row r="60" spans="1:26">
      <c r="A60" s="786"/>
      <c r="C60" s="1701"/>
      <c r="D60" s="500" t="s">
        <v>360</v>
      </c>
      <c r="E60" s="1124">
        <v>0.61499999999999999</v>
      </c>
      <c r="F60" s="1127">
        <f>F61/F59</f>
        <v>0.67941332019809786</v>
      </c>
      <c r="G60" s="1120"/>
      <c r="Z60" s="1047" t="s">
        <v>622</v>
      </c>
    </row>
    <row r="61" spans="1:26" ht="15" customHeight="1">
      <c r="A61" s="786"/>
      <c r="C61" s="1701"/>
      <c r="D61" s="500" t="s">
        <v>128</v>
      </c>
      <c r="E61" s="1126">
        <f>E59*E60</f>
        <v>18229.215</v>
      </c>
      <c r="F61" s="1126">
        <f>G7*'kW Claims'!R7</f>
        <v>12318.061400543813</v>
      </c>
      <c r="G61" s="1124">
        <f>F61/E61</f>
        <v>0.67573186231792282</v>
      </c>
      <c r="Z61" s="1047" t="s">
        <v>622</v>
      </c>
    </row>
    <row r="62" spans="1:26">
      <c r="A62" s="786"/>
      <c r="C62" s="1701" t="s">
        <v>257</v>
      </c>
      <c r="D62" s="500" t="s">
        <v>241</v>
      </c>
      <c r="E62" s="1123">
        <f>Program_Claims!P13</f>
        <v>6090</v>
      </c>
      <c r="F62" s="1126">
        <f>G9*'kW Claims'!P9</f>
        <v>2418.9152020039055</v>
      </c>
      <c r="G62" s="1124">
        <f>F62/E62</f>
        <v>0.3971946144505592</v>
      </c>
      <c r="Z62" s="1047" t="s">
        <v>622</v>
      </c>
    </row>
    <row r="63" spans="1:26">
      <c r="A63" s="786"/>
      <c r="C63" s="1701"/>
      <c r="D63" s="500" t="s">
        <v>360</v>
      </c>
      <c r="E63" s="1125">
        <v>0.61399999999999999</v>
      </c>
      <c r="F63" s="1127">
        <f>F64/F62</f>
        <v>0.70581229045403471</v>
      </c>
      <c r="G63" s="1120"/>
      <c r="Z63" s="1047" t="s">
        <v>622</v>
      </c>
    </row>
    <row r="64" spans="1:26">
      <c r="A64" s="786"/>
      <c r="C64" s="1701"/>
      <c r="D64" s="500" t="s">
        <v>128</v>
      </c>
      <c r="E64" s="1123">
        <f>E62*E63</f>
        <v>3739.2599999999998</v>
      </c>
      <c r="F64" s="1126">
        <f>G9*'kW Claims'!R9</f>
        <v>1707.3000791404606</v>
      </c>
      <c r="G64" s="1124">
        <f>F64/E64</f>
        <v>0.45658768824325152</v>
      </c>
      <c r="Z64" s="1047" t="s">
        <v>622</v>
      </c>
    </row>
    <row r="65" spans="1:26" ht="24" customHeight="1">
      <c r="A65" s="786"/>
      <c r="C65" s="1698"/>
      <c r="D65" s="1698"/>
      <c r="E65" s="1698"/>
      <c r="F65" s="1698"/>
      <c r="G65" s="1698"/>
      <c r="Z65" s="1047" t="s">
        <v>622</v>
      </c>
    </row>
    <row r="66" spans="1:26">
      <c r="A66" s="786"/>
      <c r="C66" s="1628" t="s">
        <v>625</v>
      </c>
      <c r="D66" s="500" t="s">
        <v>241</v>
      </c>
      <c r="E66" s="1126">
        <f>E56+E59+E62</f>
        <v>44872</v>
      </c>
      <c r="F66" s="1126">
        <f>F56+F59+F62</f>
        <v>26743.554711013232</v>
      </c>
      <c r="G66" s="1127">
        <f>F66/E66</f>
        <v>0.59599649471860472</v>
      </c>
      <c r="Z66" s="1047" t="s">
        <v>622</v>
      </c>
    </row>
    <row r="67" spans="1:26">
      <c r="A67" s="786"/>
      <c r="C67" s="1628"/>
      <c r="D67" s="500" t="s">
        <v>360</v>
      </c>
      <c r="E67" s="1127">
        <f>E68/E66</f>
        <v>0.61384571670529497</v>
      </c>
      <c r="F67" s="1127">
        <f>F68/F66</f>
        <v>0.68067137060849758</v>
      </c>
      <c r="G67" s="1120"/>
      <c r="Z67" s="1047" t="s">
        <v>622</v>
      </c>
    </row>
    <row r="68" spans="1:26">
      <c r="A68" s="786"/>
      <c r="C68" s="1628"/>
      <c r="D68" s="500" t="s">
        <v>128</v>
      </c>
      <c r="E68" s="1126">
        <f>E58+E61+E64</f>
        <v>27544.484999999997</v>
      </c>
      <c r="F68" s="1126">
        <f>F58+F61+F64</f>
        <v>18203.572040088718</v>
      </c>
      <c r="G68" s="1127">
        <f>F68/E68</f>
        <v>0.66087901226284396</v>
      </c>
      <c r="Z68" s="1047" t="s">
        <v>622</v>
      </c>
    </row>
    <row r="69" spans="1:26">
      <c r="A69" s="786"/>
      <c r="Z69" s="1047" t="s">
        <v>622</v>
      </c>
    </row>
    <row r="70" spans="1:26">
      <c r="A70" s="786"/>
      <c r="Z70" s="1047" t="s">
        <v>622</v>
      </c>
    </row>
    <row r="71" spans="1:26">
      <c r="A71" s="786"/>
      <c r="Z71" s="1047" t="s">
        <v>622</v>
      </c>
    </row>
    <row r="72" spans="1:26">
      <c r="A72" s="786"/>
      <c r="C72" s="822" t="s">
        <v>627</v>
      </c>
      <c r="Z72" s="1047" t="s">
        <v>622</v>
      </c>
    </row>
    <row r="73" spans="1:26" ht="15" customHeight="1">
      <c r="A73" s="786"/>
      <c r="C73" s="822" t="s">
        <v>628</v>
      </c>
      <c r="Z73" s="1047" t="s">
        <v>622</v>
      </c>
    </row>
    <row r="74" spans="1:26" ht="25.2">
      <c r="A74" s="786"/>
      <c r="C74" s="1119" t="s">
        <v>0</v>
      </c>
      <c r="D74" s="1119" t="s">
        <v>366</v>
      </c>
      <c r="E74" s="1122" t="s">
        <v>361</v>
      </c>
      <c r="F74" s="1122" t="s">
        <v>362</v>
      </c>
      <c r="G74" s="1119" t="s">
        <v>624</v>
      </c>
      <c r="Z74" s="1047" t="s">
        <v>622</v>
      </c>
    </row>
    <row r="75" spans="1:26">
      <c r="A75" s="786"/>
      <c r="C75" s="1628" t="s">
        <v>625</v>
      </c>
      <c r="D75" s="500" t="s">
        <v>241</v>
      </c>
      <c r="E75" s="1123">
        <f>Program_Claims!P9+Program_Claims!P12+Program_Claims!P14</f>
        <v>4395</v>
      </c>
      <c r="F75" s="1123">
        <f>'kW Claims'!T6+'kW Claims'!T8+'kW Claims'!T10</f>
        <v>4305.4222374484734</v>
      </c>
      <c r="G75" s="1124">
        <f>F75/E75</f>
        <v>0.9796182565298005</v>
      </c>
      <c r="Z75" s="1047" t="s">
        <v>622</v>
      </c>
    </row>
    <row r="76" spans="1:26">
      <c r="A76" s="786"/>
      <c r="C76" s="1628"/>
      <c r="D76" s="500" t="s">
        <v>360</v>
      </c>
      <c r="E76" s="1124">
        <v>0.7</v>
      </c>
      <c r="F76" s="1124">
        <f>F77/F75</f>
        <v>0.74806660947787751</v>
      </c>
      <c r="G76" s="1120"/>
      <c r="Z76" s="1047" t="s">
        <v>622</v>
      </c>
    </row>
    <row r="77" spans="1:26">
      <c r="A77" s="786"/>
      <c r="C77" s="1628"/>
      <c r="D77" s="500" t="s">
        <v>128</v>
      </c>
      <c r="E77" s="1123">
        <f>E75*E76</f>
        <v>3076.5</v>
      </c>
      <c r="F77" s="1123">
        <f>'kW Claims'!U6+'kW Claims'!U8+'kW Claims'!U10</f>
        <v>3220.7426155387366</v>
      </c>
      <c r="G77" s="1124">
        <f t="shared" ref="G77" si="2">F77/E77</f>
        <v>1.0468852967783964</v>
      </c>
      <c r="Z77" s="1047" t="s">
        <v>622</v>
      </c>
    </row>
    <row r="78" spans="1:26">
      <c r="A78" s="786"/>
      <c r="Z78" s="1047" t="s">
        <v>622</v>
      </c>
    </row>
    <row r="79" spans="1:26">
      <c r="A79" s="786"/>
      <c r="Z79" s="1047" t="s">
        <v>622</v>
      </c>
    </row>
    <row r="80" spans="1:26">
      <c r="A80" s="786"/>
      <c r="Z80" s="1047" t="s">
        <v>622</v>
      </c>
    </row>
    <row r="81" spans="1:26">
      <c r="A81" s="786"/>
      <c r="C81" s="822" t="s">
        <v>629</v>
      </c>
      <c r="Z81" s="1047" t="s">
        <v>622</v>
      </c>
    </row>
    <row r="82" spans="1:26">
      <c r="A82" s="786"/>
      <c r="C82" s="822" t="s">
        <v>553</v>
      </c>
      <c r="Z82" s="1047" t="s">
        <v>622</v>
      </c>
    </row>
    <row r="83" spans="1:26" ht="25.2">
      <c r="A83" s="786"/>
      <c r="C83" s="1119" t="s">
        <v>0</v>
      </c>
      <c r="D83" s="1119" t="s">
        <v>366</v>
      </c>
      <c r="E83" s="1122" t="s">
        <v>361</v>
      </c>
      <c r="F83" s="1122" t="s">
        <v>362</v>
      </c>
      <c r="G83" s="1119" t="s">
        <v>624</v>
      </c>
      <c r="Z83" s="1047" t="s">
        <v>622</v>
      </c>
    </row>
    <row r="84" spans="1:26">
      <c r="A84" s="786"/>
      <c r="C84" s="1701" t="s">
        <v>256</v>
      </c>
      <c r="D84" s="500" t="s">
        <v>408</v>
      </c>
      <c r="E84" s="1123">
        <f>Program_Claims!Q8</f>
        <v>-414597</v>
      </c>
      <c r="F84" s="1123">
        <f>G4*'kW Claims'!P15</f>
        <v>-280953.13056816848</v>
      </c>
      <c r="G84" s="1124">
        <f>F84/E84</f>
        <v>0.67765355409751749</v>
      </c>
      <c r="Z84" s="1047" t="s">
        <v>622</v>
      </c>
    </row>
    <row r="85" spans="1:26">
      <c r="A85" s="786"/>
      <c r="C85" s="1701"/>
      <c r="D85" s="500" t="s">
        <v>360</v>
      </c>
      <c r="E85" s="1125">
        <v>0.61</v>
      </c>
      <c r="F85" s="1124">
        <f>F86/F84</f>
        <v>0.67453583392976069</v>
      </c>
      <c r="G85" s="1120"/>
      <c r="Z85" s="1047" t="s">
        <v>622</v>
      </c>
    </row>
    <row r="86" spans="1:26">
      <c r="A86" s="786"/>
      <c r="C86" s="1701"/>
      <c r="D86" s="500" t="s">
        <v>409</v>
      </c>
      <c r="E86" s="1123">
        <f>E84*E85</f>
        <v>-252904.16999999998</v>
      </c>
      <c r="F86" s="1123">
        <f>G4*'kW Claims'!R15</f>
        <v>-189512.95422297646</v>
      </c>
      <c r="G86" s="1124">
        <f t="shared" ref="G86" si="3">F86/E86</f>
        <v>0.7493468938174348</v>
      </c>
      <c r="Z86" s="1047" t="s">
        <v>622</v>
      </c>
    </row>
    <row r="87" spans="1:26">
      <c r="A87" s="786"/>
      <c r="C87" s="1701" t="s">
        <v>18</v>
      </c>
      <c r="D87" s="500" t="s">
        <v>408</v>
      </c>
      <c r="E87" s="1123">
        <f>Program_Claims!Q11</f>
        <v>-3214568</v>
      </c>
      <c r="F87" s="1123">
        <f>G7*'kW Claims'!P17</f>
        <v>-1966211.5804486759</v>
      </c>
      <c r="G87" s="1124">
        <f>F87/E87</f>
        <v>0.61165655243524975</v>
      </c>
      <c r="Z87" s="1047" t="s">
        <v>622</v>
      </c>
    </row>
    <row r="88" spans="1:26">
      <c r="A88" s="786"/>
      <c r="C88" s="1701"/>
      <c r="D88" s="500" t="s">
        <v>360</v>
      </c>
      <c r="E88" s="1127">
        <v>0.61499999999999999</v>
      </c>
      <c r="F88" s="1124">
        <f>F89/F87</f>
        <v>0.67941332019809775</v>
      </c>
      <c r="G88" s="1120"/>
      <c r="Z88" s="1047" t="s">
        <v>622</v>
      </c>
    </row>
    <row r="89" spans="1:26">
      <c r="A89" s="786"/>
      <c r="C89" s="1701"/>
      <c r="D89" s="500" t="s">
        <v>409</v>
      </c>
      <c r="E89" s="1126">
        <f>E87*E88</f>
        <v>-1976959.32</v>
      </c>
      <c r="F89" s="1123">
        <f>G7*'kW Claims'!R17</f>
        <v>-1335870.3380845841</v>
      </c>
      <c r="G89" s="1124">
        <f>F89/E89</f>
        <v>0.67571968961130879</v>
      </c>
      <c r="Z89" s="1047" t="s">
        <v>622</v>
      </c>
    </row>
    <row r="90" spans="1:26">
      <c r="A90" s="786"/>
      <c r="C90" s="1701" t="s">
        <v>257</v>
      </c>
      <c r="D90" s="500" t="s">
        <v>408</v>
      </c>
      <c r="E90" s="1123">
        <f>Program_Claims!Q13</f>
        <v>-386649</v>
      </c>
      <c r="F90" s="1123">
        <f>G9*'kW Claims'!P19</f>
        <v>-153564.02989863505</v>
      </c>
      <c r="G90" s="1124">
        <f>F90/E90</f>
        <v>0.39716649958653727</v>
      </c>
      <c r="Z90" s="1047"/>
    </row>
    <row r="91" spans="1:26">
      <c r="A91" s="786"/>
      <c r="C91" s="1701"/>
      <c r="D91" s="500" t="s">
        <v>360</v>
      </c>
      <c r="E91" s="1124">
        <v>0.61399999999999999</v>
      </c>
      <c r="F91" s="1124">
        <f>F92/F90</f>
        <v>0.7058122904540346</v>
      </c>
      <c r="G91" s="1120"/>
      <c r="Z91" s="1047"/>
    </row>
    <row r="92" spans="1:26">
      <c r="A92" s="786"/>
      <c r="C92" s="1701"/>
      <c r="D92" s="500" t="s">
        <v>409</v>
      </c>
      <c r="E92" s="1123">
        <f>E90*E91</f>
        <v>-237402.486</v>
      </c>
      <c r="F92" s="1123">
        <f>G9*'kW Claims'!R19</f>
        <v>-108387.37967410746</v>
      </c>
      <c r="G92" s="1124">
        <f>F92/E92</f>
        <v>0.45655536932375451</v>
      </c>
      <c r="Z92" s="1047"/>
    </row>
    <row r="93" spans="1:26">
      <c r="A93" s="786"/>
      <c r="C93" s="1698"/>
      <c r="D93" s="1698"/>
      <c r="E93" s="1698"/>
      <c r="F93" s="1698"/>
      <c r="G93" s="1698"/>
      <c r="Z93" s="1047"/>
    </row>
    <row r="94" spans="1:26">
      <c r="A94" s="786"/>
      <c r="C94" s="1628" t="s">
        <v>625</v>
      </c>
      <c r="D94" s="500" t="s">
        <v>408</v>
      </c>
      <c r="E94" s="1126">
        <f>E84+E87+E90</f>
        <v>-4015814</v>
      </c>
      <c r="F94" s="1126">
        <f>F84+F87+F90</f>
        <v>-2400728.7409154796</v>
      </c>
      <c r="G94" s="1127">
        <f>F94/E94</f>
        <v>0.59781870896298472</v>
      </c>
      <c r="Z94" s="1047"/>
    </row>
    <row r="95" spans="1:26">
      <c r="A95" s="786"/>
      <c r="C95" s="1628"/>
      <c r="D95" s="500" t="s">
        <v>360</v>
      </c>
      <c r="E95" s="1127">
        <f>E96/E94</f>
        <v>0.61438751296748317</v>
      </c>
      <c r="F95" s="1127">
        <f>F96/F94</f>
        <v>0.68053114212256061</v>
      </c>
      <c r="G95" s="1120"/>
      <c r="Z95" s="1047"/>
    </row>
    <row r="96" spans="1:26">
      <c r="A96" s="786"/>
      <c r="C96" s="1628"/>
      <c r="D96" s="500" t="s">
        <v>409</v>
      </c>
      <c r="E96" s="1126">
        <f>E86+E89+E92</f>
        <v>-2467265.9760000003</v>
      </c>
      <c r="F96" s="1126">
        <f>F86+F89+F92</f>
        <v>-1633770.6719816681</v>
      </c>
      <c r="G96" s="1127">
        <f>F96/E96</f>
        <v>0.66217857655962253</v>
      </c>
      <c r="Z96" s="1047"/>
    </row>
    <row r="97" spans="1:26">
      <c r="A97" s="786"/>
      <c r="Z97" s="1047"/>
    </row>
    <row r="98" spans="1:26">
      <c r="A98" s="786"/>
      <c r="Z98" s="1047"/>
    </row>
    <row r="99" spans="1:26">
      <c r="A99" s="786"/>
      <c r="C99" s="822" t="s">
        <v>630</v>
      </c>
      <c r="Z99" s="1047"/>
    </row>
    <row r="100" spans="1:26">
      <c r="A100" s="786"/>
      <c r="C100" s="822" t="s">
        <v>631</v>
      </c>
      <c r="Z100" s="1047"/>
    </row>
    <row r="101" spans="1:26" ht="25.2">
      <c r="A101" s="786"/>
      <c r="C101" s="1119" t="s">
        <v>0</v>
      </c>
      <c r="D101" s="1119" t="s">
        <v>366</v>
      </c>
      <c r="E101" s="1122" t="s">
        <v>361</v>
      </c>
      <c r="F101" s="1122" t="s">
        <v>362</v>
      </c>
      <c r="G101" s="1119" t="s">
        <v>624</v>
      </c>
      <c r="Z101" s="1047"/>
    </row>
    <row r="102" spans="1:26">
      <c r="A102" s="786"/>
      <c r="C102" s="1628" t="s">
        <v>625</v>
      </c>
      <c r="D102" s="500" t="s">
        <v>408</v>
      </c>
      <c r="E102" s="1123">
        <f>Program_Claims!Q9+Program_Claims!Q12+Program_Claims!Q14</f>
        <v>-346086</v>
      </c>
      <c r="F102" s="1126">
        <f>'kW Claims'!T22</f>
        <v>-300264.23622891272</v>
      </c>
      <c r="G102" s="1124">
        <f>F102/E102</f>
        <v>0.86760006538523005</v>
      </c>
      <c r="Z102" s="1047"/>
    </row>
    <row r="103" spans="1:26">
      <c r="A103" s="786"/>
      <c r="C103" s="1628"/>
      <c r="D103" s="500" t="s">
        <v>360</v>
      </c>
      <c r="E103" s="1124">
        <v>0.7</v>
      </c>
      <c r="F103" s="1127">
        <f>F104/F102</f>
        <v>0.74806660947787751</v>
      </c>
      <c r="G103" s="1120"/>
      <c r="Z103" s="1047"/>
    </row>
    <row r="104" spans="1:26">
      <c r="A104" s="786"/>
      <c r="C104" s="1628"/>
      <c r="D104" s="500" t="s">
        <v>409</v>
      </c>
      <c r="E104" s="1123">
        <f>E102*E103</f>
        <v>-242260.19999999998</v>
      </c>
      <c r="F104" s="1126">
        <f>'kW Claims'!U22</f>
        <v>-224617.6491432272</v>
      </c>
      <c r="G104" s="1124">
        <f t="shared" ref="G104" si="4">F104/E104</f>
        <v>0.92717519899359124</v>
      </c>
      <c r="Z104" s="1047"/>
    </row>
    <row r="105" spans="1:26">
      <c r="A105" s="786"/>
      <c r="Z105" s="1047"/>
    </row>
    <row r="106" spans="1:26">
      <c r="A106" s="786"/>
      <c r="Z106" s="1047"/>
    </row>
    <row r="107" spans="1:26" ht="15" thickBot="1">
      <c r="A107" s="786"/>
      <c r="C107" s="822" t="s">
        <v>635</v>
      </c>
      <c r="Z107" s="1047"/>
    </row>
    <row r="108" spans="1:26" ht="37.799999999999997">
      <c r="A108" s="786"/>
      <c r="C108" s="1046" t="s">
        <v>0</v>
      </c>
      <c r="D108" s="527" t="s">
        <v>332</v>
      </c>
      <c r="E108" s="527" t="s">
        <v>333</v>
      </c>
      <c r="F108" s="527" t="s">
        <v>632</v>
      </c>
      <c r="G108" s="527" t="s">
        <v>633</v>
      </c>
      <c r="H108" s="527" t="s">
        <v>795</v>
      </c>
      <c r="J108" s="1686"/>
      <c r="K108" s="1686"/>
      <c r="L108" s="1686"/>
      <c r="M108" s="1686"/>
      <c r="N108" s="1686"/>
      <c r="O108" s="1686"/>
      <c r="P108" s="1686"/>
      <c r="Z108" s="1047"/>
    </row>
    <row r="109" spans="1:26">
      <c r="A109" s="786"/>
      <c r="C109" s="1707" t="s">
        <v>256</v>
      </c>
      <c r="D109" s="1128" t="s">
        <v>101</v>
      </c>
      <c r="E109" s="1126">
        <f>Program_Claims!N8</f>
        <v>55742</v>
      </c>
      <c r="F109" s="1126">
        <f>Program_Claims!O8</f>
        <v>41137792</v>
      </c>
      <c r="G109" s="1126">
        <f>Program_Claims!P8</f>
        <v>9141</v>
      </c>
      <c r="H109" s="1126">
        <f>Program_Claims!Q8</f>
        <v>-414597</v>
      </c>
      <c r="J109" s="138"/>
      <c r="Z109" s="1047"/>
    </row>
    <row r="110" spans="1:26">
      <c r="A110" s="786"/>
      <c r="C110" s="1707"/>
      <c r="D110" s="1128" t="s">
        <v>25</v>
      </c>
      <c r="E110" s="1126">
        <f>Program_Claims!N9</f>
        <v>7147</v>
      </c>
      <c r="F110" s="1126">
        <f>Program_Claims!O9</f>
        <v>4037308</v>
      </c>
      <c r="G110" s="1126">
        <f>Program_Claims!P9</f>
        <v>942</v>
      </c>
      <c r="H110" s="1126">
        <f>Program_Claims!Q9</f>
        <v>-22972</v>
      </c>
      <c r="Z110" s="1047"/>
    </row>
    <row r="111" spans="1:26">
      <c r="A111" s="786"/>
      <c r="C111" s="1707"/>
      <c r="D111" s="1128" t="s">
        <v>334</v>
      </c>
      <c r="E111" s="1126">
        <f>Program_Claims!N10</f>
        <v>815</v>
      </c>
      <c r="F111" s="1126">
        <f>Program_Claims!O10</f>
        <v>35352</v>
      </c>
      <c r="G111" s="1126">
        <f>Program_Claims!P10</f>
        <v>36</v>
      </c>
      <c r="H111" s="1126">
        <f>Program_Claims!Q10</f>
        <v>0</v>
      </c>
      <c r="Z111" s="1047"/>
    </row>
    <row r="112" spans="1:26">
      <c r="A112" s="786"/>
      <c r="C112" s="1707" t="s">
        <v>18</v>
      </c>
      <c r="D112" s="1128" t="s">
        <v>101</v>
      </c>
      <c r="E112" s="1126">
        <f>Program_Claims!N11</f>
        <v>183225</v>
      </c>
      <c r="F112" s="1126">
        <f>Program_Claims!O11</f>
        <v>153059770</v>
      </c>
      <c r="G112" s="1126">
        <f>Program_Claims!P11</f>
        <v>29641</v>
      </c>
      <c r="H112" s="1126">
        <f>Program_Claims!Q11</f>
        <v>-3214568</v>
      </c>
      <c r="Z112" s="1047"/>
    </row>
    <row r="113" spans="1:26">
      <c r="A113" s="786"/>
      <c r="C113" s="1707"/>
      <c r="D113" s="1128" t="s">
        <v>25</v>
      </c>
      <c r="E113" s="1126">
        <f>Program_Claims!N12</f>
        <v>15551</v>
      </c>
      <c r="F113" s="1126">
        <f>Program_Claims!O12</f>
        <v>14975072</v>
      </c>
      <c r="G113" s="1126">
        <f>Program_Claims!P12</f>
        <v>2958</v>
      </c>
      <c r="H113" s="1126">
        <f>Program_Claims!Q12</f>
        <v>-301119</v>
      </c>
      <c r="Z113" s="1047"/>
    </row>
    <row r="114" spans="1:26">
      <c r="A114" s="786"/>
      <c r="C114" s="1707" t="s">
        <v>257</v>
      </c>
      <c r="D114" s="1128" t="s">
        <v>101</v>
      </c>
      <c r="E114" s="1126">
        <f>Program_Claims!N13</f>
        <v>40893</v>
      </c>
      <c r="F114" s="1126">
        <f>Program_Claims!O13</f>
        <v>39149035</v>
      </c>
      <c r="G114" s="1126">
        <f>Program_Claims!P13</f>
        <v>6090</v>
      </c>
      <c r="H114" s="1126">
        <f>Program_Claims!Q13</f>
        <v>-386649</v>
      </c>
      <c r="Z114" s="1047"/>
    </row>
    <row r="115" spans="1:26">
      <c r="A115" s="786"/>
      <c r="C115" s="1707"/>
      <c r="D115" s="1128" t="s">
        <v>25</v>
      </c>
      <c r="E115" s="1126">
        <f>Program_Claims!N14</f>
        <v>4420</v>
      </c>
      <c r="F115" s="1126">
        <f>Program_Claims!O14</f>
        <v>3181047</v>
      </c>
      <c r="G115" s="1126">
        <f>Program_Claims!P14</f>
        <v>495</v>
      </c>
      <c r="H115" s="1126">
        <f>Program_Claims!Q14</f>
        <v>-21995</v>
      </c>
      <c r="Z115" s="1047"/>
    </row>
    <row r="116" spans="1:26">
      <c r="A116" s="786"/>
      <c r="C116" s="1707"/>
      <c r="D116" s="1128" t="s">
        <v>334</v>
      </c>
      <c r="E116" s="1126">
        <f>Program_Claims!N15</f>
        <v>744</v>
      </c>
      <c r="F116" s="1126" t="str">
        <f>Program_Claims!O15</f>
        <v>**</v>
      </c>
      <c r="G116" s="1126" t="str">
        <f>Program_Claims!P15</f>
        <v>**</v>
      </c>
      <c r="H116" s="1126">
        <f>Program_Claims!Q15</f>
        <v>140058</v>
      </c>
      <c r="N116" s="839"/>
      <c r="Z116" s="1047"/>
    </row>
    <row r="117" spans="1:26">
      <c r="A117" s="786"/>
      <c r="C117" s="1708" t="s">
        <v>5</v>
      </c>
      <c r="D117" s="1128" t="s">
        <v>101</v>
      </c>
      <c r="E117" s="1126">
        <f>Program_Claims!N16</f>
        <v>279860</v>
      </c>
      <c r="F117" s="1126">
        <f>Program_Claims!O16</f>
        <v>233346597</v>
      </c>
      <c r="G117" s="1126">
        <f>Program_Claims!P16</f>
        <v>44872</v>
      </c>
      <c r="H117" s="1126">
        <f>Program_Claims!Q16</f>
        <v>-4015814</v>
      </c>
      <c r="N117" s="839"/>
      <c r="Z117" s="1047"/>
    </row>
    <row r="118" spans="1:26">
      <c r="A118" s="786"/>
      <c r="C118" s="1708"/>
      <c r="D118" s="1128" t="s">
        <v>25</v>
      </c>
      <c r="E118" s="1126">
        <f>Program_Claims!N17</f>
        <v>27118</v>
      </c>
      <c r="F118" s="1126">
        <f>Program_Claims!O17</f>
        <v>22193427</v>
      </c>
      <c r="G118" s="1126">
        <f>Program_Claims!P17</f>
        <v>4395</v>
      </c>
      <c r="H118" s="1126">
        <f>Program_Claims!Q17</f>
        <v>-346086</v>
      </c>
      <c r="Z118" s="1047"/>
    </row>
    <row r="119" spans="1:26">
      <c r="A119" s="786"/>
      <c r="C119" s="1708"/>
      <c r="D119" s="1128" t="s">
        <v>334</v>
      </c>
      <c r="E119" s="1126">
        <f>Program_Claims!N18</f>
        <v>1559</v>
      </c>
      <c r="F119" s="1126">
        <f>Program_Claims!O18</f>
        <v>35352</v>
      </c>
      <c r="G119" s="1126">
        <f>Program_Claims!P18</f>
        <v>36</v>
      </c>
      <c r="H119" s="1126">
        <f>Program_Claims!Q18</f>
        <v>140058</v>
      </c>
      <c r="Z119" s="1047"/>
    </row>
    <row r="120" spans="1:26">
      <c r="A120" s="786"/>
      <c r="C120" s="1709" t="s">
        <v>634</v>
      </c>
      <c r="D120" s="1709"/>
      <c r="E120" s="1709"/>
      <c r="F120" s="1709"/>
      <c r="G120" s="1709"/>
      <c r="Z120" s="1047"/>
    </row>
    <row r="121" spans="1:26">
      <c r="A121" s="786"/>
      <c r="Z121" s="1047"/>
    </row>
    <row r="122" spans="1:26" ht="64.5" customHeight="1">
      <c r="A122" s="786"/>
      <c r="Z122" s="1047"/>
    </row>
    <row r="123" spans="1:26">
      <c r="A123" s="786"/>
      <c r="Z123" s="1047"/>
    </row>
    <row r="124" spans="1:26" ht="15" thickBot="1">
      <c r="A124" s="786"/>
      <c r="C124" s="1093" t="s">
        <v>657</v>
      </c>
      <c r="Z124" s="1047"/>
    </row>
    <row r="125" spans="1:26" ht="16.5" customHeight="1">
      <c r="A125" s="786" t="s">
        <v>787</v>
      </c>
      <c r="C125" s="1578" t="s">
        <v>636</v>
      </c>
      <c r="D125" s="1578" t="s">
        <v>637</v>
      </c>
      <c r="E125" s="1578" t="s">
        <v>638</v>
      </c>
      <c r="F125" s="527" t="s">
        <v>639</v>
      </c>
      <c r="G125" s="1578" t="s">
        <v>641</v>
      </c>
      <c r="Z125" s="1047"/>
    </row>
    <row r="126" spans="1:26" ht="15" thickBot="1">
      <c r="A126" s="786" t="s">
        <v>787</v>
      </c>
      <c r="C126" s="1579"/>
      <c r="D126" s="1579"/>
      <c r="E126" s="1579"/>
      <c r="F126" s="502" t="s">
        <v>640</v>
      </c>
      <c r="G126" s="1579"/>
      <c r="Z126" s="1047"/>
    </row>
    <row r="127" spans="1:26" ht="27" thickBot="1">
      <c r="A127" s="786" t="s">
        <v>787</v>
      </c>
      <c r="C127" s="493" t="s">
        <v>642</v>
      </c>
      <c r="D127" s="1050" t="s">
        <v>643</v>
      </c>
      <c r="E127" s="1050" t="s">
        <v>644</v>
      </c>
      <c r="F127" s="1050" t="s">
        <v>645</v>
      </c>
      <c r="G127" s="1050" t="s">
        <v>644</v>
      </c>
      <c r="Z127" s="1047"/>
    </row>
    <row r="128" spans="1:26">
      <c r="A128" s="786" t="s">
        <v>787</v>
      </c>
      <c r="C128" s="1621" t="s">
        <v>646</v>
      </c>
      <c r="D128" s="1051" t="s">
        <v>647</v>
      </c>
      <c r="E128" s="1696" t="s">
        <v>645</v>
      </c>
      <c r="F128" s="1696" t="s">
        <v>649</v>
      </c>
      <c r="G128" s="1696" t="s">
        <v>650</v>
      </c>
      <c r="Z128" s="1047"/>
    </row>
    <row r="129" spans="1:26" ht="15.75" customHeight="1" thickBot="1">
      <c r="A129" s="786" t="s">
        <v>787</v>
      </c>
      <c r="C129" s="1623"/>
      <c r="D129" s="1050" t="s">
        <v>648</v>
      </c>
      <c r="E129" s="1697"/>
      <c r="F129" s="1697"/>
      <c r="G129" s="1697"/>
      <c r="Z129" s="1047"/>
    </row>
    <row r="130" spans="1:26" ht="40.200000000000003" thickBot="1">
      <c r="A130" s="786" t="s">
        <v>787</v>
      </c>
      <c r="C130" s="493" t="s">
        <v>651</v>
      </c>
      <c r="D130" s="1050" t="s">
        <v>652</v>
      </c>
      <c r="E130" s="1050" t="s">
        <v>653</v>
      </c>
      <c r="F130" s="1050" t="s">
        <v>654</v>
      </c>
      <c r="G130" s="1050" t="s">
        <v>655</v>
      </c>
      <c r="Z130" s="1047"/>
    </row>
    <row r="131" spans="1:26">
      <c r="A131" s="786"/>
      <c r="Z131" s="1047"/>
    </row>
    <row r="132" spans="1:26">
      <c r="A132" s="786"/>
      <c r="Z132" s="1047"/>
    </row>
    <row r="133" spans="1:26">
      <c r="A133" s="786"/>
      <c r="Z133" s="1047"/>
    </row>
    <row r="134" spans="1:26" ht="17.25" customHeight="1">
      <c r="A134" s="786"/>
      <c r="C134" s="1093" t="s">
        <v>656</v>
      </c>
      <c r="Z134" s="1047"/>
    </row>
    <row r="135" spans="1:26" ht="25.2">
      <c r="A135" s="786" t="s">
        <v>787</v>
      </c>
      <c r="C135" s="1119" t="s">
        <v>636</v>
      </c>
      <c r="D135" s="1119" t="s">
        <v>637</v>
      </c>
      <c r="E135" s="1119" t="s">
        <v>658</v>
      </c>
      <c r="F135" s="1119" t="s">
        <v>659</v>
      </c>
      <c r="G135" s="1119" t="s">
        <v>660</v>
      </c>
      <c r="Z135" s="1047"/>
    </row>
    <row r="136" spans="1:26" ht="26.4">
      <c r="A136" s="786" t="s">
        <v>787</v>
      </c>
      <c r="C136" s="1162" t="s">
        <v>661</v>
      </c>
      <c r="D136" s="1241" t="s">
        <v>643</v>
      </c>
      <c r="E136" s="1241" t="s">
        <v>644</v>
      </c>
      <c r="F136" s="1241" t="s">
        <v>662</v>
      </c>
      <c r="G136" s="1241" t="s">
        <v>644</v>
      </c>
      <c r="Z136" s="1047"/>
    </row>
    <row r="137" spans="1:26">
      <c r="A137" s="786" t="s">
        <v>787</v>
      </c>
      <c r="C137" s="1162" t="s">
        <v>646</v>
      </c>
      <c r="D137" s="1241" t="s">
        <v>643</v>
      </c>
      <c r="E137" s="1241" t="s">
        <v>650</v>
      </c>
      <c r="F137" s="1241" t="s">
        <v>662</v>
      </c>
      <c r="G137" s="1231" t="s">
        <v>650</v>
      </c>
      <c r="Z137" s="1047"/>
    </row>
    <row r="138" spans="1:26" ht="16.5" customHeight="1">
      <c r="A138" s="786" t="s">
        <v>787</v>
      </c>
      <c r="C138" s="1628" t="s">
        <v>663</v>
      </c>
      <c r="D138" s="1710" t="s">
        <v>496</v>
      </c>
      <c r="E138" s="1710" t="s">
        <v>664</v>
      </c>
      <c r="F138" s="1241" t="s">
        <v>665</v>
      </c>
      <c r="G138" s="1711">
        <v>0</v>
      </c>
      <c r="Z138" s="1047"/>
    </row>
    <row r="139" spans="1:26">
      <c r="A139" s="786" t="s">
        <v>787</v>
      </c>
      <c r="C139" s="1628"/>
      <c r="D139" s="1710"/>
      <c r="E139" s="1710"/>
      <c r="F139" s="1241" t="s">
        <v>666</v>
      </c>
      <c r="G139" s="1711"/>
      <c r="Z139" s="1047"/>
    </row>
    <row r="140" spans="1:26" ht="35.25" customHeight="1">
      <c r="A140" s="786" t="s">
        <v>787</v>
      </c>
      <c r="C140" s="1162" t="s">
        <v>667</v>
      </c>
      <c r="D140" s="1710" t="s">
        <v>652</v>
      </c>
      <c r="E140" s="1712" t="s">
        <v>669</v>
      </c>
      <c r="F140" s="1241" t="s">
        <v>670</v>
      </c>
      <c r="G140" s="1712" t="s">
        <v>672</v>
      </c>
      <c r="Z140" s="1047"/>
    </row>
    <row r="141" spans="1:26">
      <c r="A141" s="786" t="s">
        <v>787</v>
      </c>
      <c r="C141" s="1162" t="s">
        <v>668</v>
      </c>
      <c r="D141" s="1710"/>
      <c r="E141" s="1712"/>
      <c r="F141" s="1241" t="s">
        <v>671</v>
      </c>
      <c r="G141" s="1712"/>
      <c r="Z141" s="1047"/>
    </row>
    <row r="142" spans="1:26">
      <c r="A142" s="786"/>
      <c r="Z142" s="1047"/>
    </row>
    <row r="143" spans="1:26">
      <c r="A143" s="786"/>
      <c r="Z143" s="1047"/>
    </row>
    <row r="144" spans="1:26" ht="17.25" customHeight="1" thickBot="1">
      <c r="A144" s="786"/>
      <c r="C144" s="1093" t="s">
        <v>673</v>
      </c>
      <c r="Z144" s="1047"/>
    </row>
    <row r="145" spans="1:26" ht="69.599999999999994" thickBot="1">
      <c r="A145" s="786" t="s">
        <v>787</v>
      </c>
      <c r="C145" s="823" t="s">
        <v>674</v>
      </c>
      <c r="D145" s="1052" t="s">
        <v>675</v>
      </c>
      <c r="E145" s="1052" t="s">
        <v>676</v>
      </c>
      <c r="F145" s="1052" t="s">
        <v>677</v>
      </c>
      <c r="G145" s="1052" t="s">
        <v>678</v>
      </c>
      <c r="H145" s="1052" t="s">
        <v>679</v>
      </c>
      <c r="Z145" s="1047"/>
    </row>
    <row r="146" spans="1:26" ht="27" thickBot="1">
      <c r="A146" s="786" t="s">
        <v>787</v>
      </c>
      <c r="C146" s="1053" t="s">
        <v>680</v>
      </c>
      <c r="D146" s="1054" t="s">
        <v>681</v>
      </c>
      <c r="E146" s="1055"/>
      <c r="F146" s="1055"/>
      <c r="G146" s="1055"/>
      <c r="H146" s="1055"/>
      <c r="Z146" s="1047"/>
    </row>
    <row r="147" spans="1:26" ht="27" thickBot="1">
      <c r="A147" s="786" t="s">
        <v>787</v>
      </c>
      <c r="C147" s="1053" t="s">
        <v>66</v>
      </c>
      <c r="D147" s="1054" t="s">
        <v>681</v>
      </c>
      <c r="E147" s="1055"/>
      <c r="F147" s="1055"/>
      <c r="G147" s="1055"/>
      <c r="H147" s="1055"/>
      <c r="Z147" s="1047"/>
    </row>
    <row r="148" spans="1:26" ht="16.5" customHeight="1" thickBot="1">
      <c r="A148" s="786" t="s">
        <v>787</v>
      </c>
      <c r="C148" s="1713" t="s">
        <v>682</v>
      </c>
      <c r="D148" s="1714"/>
      <c r="E148" s="1714"/>
      <c r="F148" s="1714"/>
      <c r="G148" s="1714"/>
      <c r="H148" s="1715"/>
      <c r="Z148" s="1047"/>
    </row>
    <row r="149" spans="1:26" ht="15" thickBot="1">
      <c r="A149" s="786" t="s">
        <v>787</v>
      </c>
      <c r="C149" s="1056" t="s">
        <v>582</v>
      </c>
      <c r="D149" s="1054" t="s">
        <v>681</v>
      </c>
      <c r="E149" s="1054" t="s">
        <v>681</v>
      </c>
      <c r="F149" s="1055"/>
      <c r="G149" s="1055"/>
      <c r="H149" s="1055"/>
      <c r="Z149" s="1047"/>
    </row>
    <row r="150" spans="1:26" ht="15" thickBot="1">
      <c r="A150" s="786" t="s">
        <v>787</v>
      </c>
      <c r="C150" s="1056" t="s">
        <v>683</v>
      </c>
      <c r="D150" s="1055"/>
      <c r="E150" s="1055"/>
      <c r="F150" s="1054" t="s">
        <v>681</v>
      </c>
      <c r="G150" s="1055"/>
      <c r="H150" s="1055"/>
      <c r="Z150" s="1047"/>
    </row>
    <row r="151" spans="1:26" ht="15" thickBot="1">
      <c r="A151" s="786" t="s">
        <v>787</v>
      </c>
      <c r="C151" s="1713" t="s">
        <v>684</v>
      </c>
      <c r="D151" s="1714"/>
      <c r="E151" s="1714"/>
      <c r="F151" s="1714"/>
      <c r="G151" s="1714"/>
      <c r="H151" s="1715"/>
      <c r="Z151" s="1047"/>
    </row>
    <row r="152" spans="1:26" ht="53.4" thickBot="1">
      <c r="A152" s="786" t="s">
        <v>787</v>
      </c>
      <c r="C152" s="1056" t="s">
        <v>685</v>
      </c>
      <c r="D152" s="1055"/>
      <c r="E152" s="1054" t="s">
        <v>681</v>
      </c>
      <c r="F152" s="1055"/>
      <c r="G152" s="1055"/>
      <c r="H152" s="1055"/>
      <c r="Z152" s="1047"/>
    </row>
    <row r="153" spans="1:26" ht="53.4" thickBot="1">
      <c r="A153" s="786" t="s">
        <v>787</v>
      </c>
      <c r="C153" s="1056" t="s">
        <v>686</v>
      </c>
      <c r="D153" s="1055"/>
      <c r="E153" s="1054" t="s">
        <v>681</v>
      </c>
      <c r="F153" s="1055"/>
      <c r="G153" s="1055"/>
      <c r="H153" s="1055"/>
      <c r="Z153" s="1047"/>
    </row>
    <row r="154" spans="1:26" ht="15" thickBot="1">
      <c r="A154" s="786" t="s">
        <v>787</v>
      </c>
      <c r="C154" s="1713" t="s">
        <v>687</v>
      </c>
      <c r="D154" s="1714"/>
      <c r="E154" s="1714"/>
      <c r="F154" s="1714"/>
      <c r="G154" s="1714"/>
      <c r="H154" s="1715"/>
      <c r="Z154" s="1047"/>
    </row>
    <row r="155" spans="1:26" ht="93" thickBot="1">
      <c r="A155" s="786" t="s">
        <v>787</v>
      </c>
      <c r="C155" s="1057" t="s">
        <v>688</v>
      </c>
      <c r="D155" s="1055"/>
      <c r="E155" s="1055"/>
      <c r="F155" s="1055"/>
      <c r="G155" s="1054" t="s">
        <v>681</v>
      </c>
      <c r="H155" s="1054" t="s">
        <v>681</v>
      </c>
      <c r="Z155" s="1047"/>
    </row>
    <row r="156" spans="1:26" ht="53.4" thickBot="1">
      <c r="A156" s="786" t="s">
        <v>787</v>
      </c>
      <c r="C156" s="1057" t="s">
        <v>689</v>
      </c>
      <c r="D156" s="1055"/>
      <c r="E156" s="1055"/>
      <c r="F156" s="1055"/>
      <c r="G156" s="1054" t="s">
        <v>681</v>
      </c>
      <c r="H156" s="1054" t="s">
        <v>681</v>
      </c>
      <c r="Z156" s="1047"/>
    </row>
    <row r="157" spans="1:26" ht="66.599999999999994" thickBot="1">
      <c r="A157" s="786" t="s">
        <v>787</v>
      </c>
      <c r="C157" s="1056" t="s">
        <v>690</v>
      </c>
      <c r="D157" s="1055"/>
      <c r="E157" s="1055"/>
      <c r="F157" s="1055"/>
      <c r="G157" s="1054" t="s">
        <v>681</v>
      </c>
      <c r="H157" s="1055"/>
      <c r="Z157" s="1047"/>
    </row>
    <row r="158" spans="1:26" ht="15" thickBot="1">
      <c r="A158" s="786" t="s">
        <v>787</v>
      </c>
      <c r="C158" s="1053" t="s">
        <v>691</v>
      </c>
      <c r="D158" s="1055"/>
      <c r="E158" s="1055"/>
      <c r="F158" s="1055"/>
      <c r="G158" s="1054" t="s">
        <v>681</v>
      </c>
      <c r="H158" s="1055"/>
      <c r="Z158" s="1047"/>
    </row>
    <row r="159" spans="1:26" ht="15" thickBot="1">
      <c r="A159" s="786" t="s">
        <v>787</v>
      </c>
      <c r="C159" s="1053" t="s">
        <v>692</v>
      </c>
      <c r="D159" s="1055"/>
      <c r="E159" s="1055"/>
      <c r="F159" s="1055"/>
      <c r="G159" s="1055"/>
      <c r="H159" s="1054" t="s">
        <v>681</v>
      </c>
      <c r="Z159" s="1047"/>
    </row>
    <row r="160" spans="1:26">
      <c r="A160" s="786"/>
      <c r="Z160" s="1047"/>
    </row>
    <row r="161" spans="1:26">
      <c r="A161" s="786"/>
      <c r="Z161" s="1047"/>
    </row>
    <row r="162" spans="1:26">
      <c r="A162" s="786"/>
      <c r="Z162" s="1047"/>
    </row>
    <row r="163" spans="1:26" ht="15" thickBot="1">
      <c r="A163" s="786"/>
      <c r="C163" s="822" t="s">
        <v>697</v>
      </c>
      <c r="Z163" s="1047"/>
    </row>
    <row r="164" spans="1:26" ht="15" thickBot="1">
      <c r="A164" s="786"/>
      <c r="C164" s="1334" t="s">
        <v>971</v>
      </c>
      <c r="D164" s="1334" t="s">
        <v>972</v>
      </c>
      <c r="E164" s="1334" t="s">
        <v>693</v>
      </c>
      <c r="F164" s="1334" t="s">
        <v>694</v>
      </c>
      <c r="G164" s="1334" t="s">
        <v>695</v>
      </c>
      <c r="Z164" s="1047"/>
    </row>
    <row r="165" spans="1:26" ht="28.8" thickTop="1" thickBot="1">
      <c r="A165" s="786"/>
      <c r="C165" s="1722" t="s">
        <v>786</v>
      </c>
      <c r="D165" s="1732" t="s">
        <v>973</v>
      </c>
      <c r="E165" s="1348" t="s">
        <v>978</v>
      </c>
      <c r="F165" s="1349">
        <v>0</v>
      </c>
      <c r="G165" s="1349">
        <v>1</v>
      </c>
      <c r="Z165" s="1047"/>
    </row>
    <row r="166" spans="1:26" ht="15" thickBot="1">
      <c r="A166" s="786"/>
      <c r="C166" s="1723"/>
      <c r="D166" s="1733"/>
      <c r="E166" s="1350" t="s">
        <v>974</v>
      </c>
      <c r="F166" s="1351">
        <v>15</v>
      </c>
      <c r="G166" s="1351">
        <v>4</v>
      </c>
      <c r="Z166" s="1047"/>
    </row>
    <row r="167" spans="1:26" ht="15" thickBot="1">
      <c r="A167" s="786"/>
      <c r="C167" s="1723"/>
      <c r="D167" s="1734"/>
      <c r="E167" s="1352" t="s">
        <v>975</v>
      </c>
      <c r="F167" s="1353">
        <v>15</v>
      </c>
      <c r="G167" s="1353">
        <v>11</v>
      </c>
      <c r="Z167" s="1047"/>
    </row>
    <row r="168" spans="1:26" ht="15" thickBot="1">
      <c r="A168" s="786"/>
      <c r="C168" s="1723"/>
      <c r="D168" s="1735" t="s">
        <v>976</v>
      </c>
      <c r="E168" s="1350" t="s">
        <v>974</v>
      </c>
      <c r="F168" s="1351">
        <v>15</v>
      </c>
      <c r="G168" s="1351">
        <v>12</v>
      </c>
      <c r="Z168" s="1047"/>
    </row>
    <row r="169" spans="1:26" ht="15" thickBot="1">
      <c r="A169" s="786"/>
      <c r="C169" s="1723"/>
      <c r="D169" s="1736"/>
      <c r="E169" s="1352" t="s">
        <v>975</v>
      </c>
      <c r="F169" s="1353">
        <v>15</v>
      </c>
      <c r="G169" s="1353">
        <v>12</v>
      </c>
      <c r="Z169" s="1047"/>
    </row>
    <row r="170" spans="1:26" ht="15" thickBot="1">
      <c r="A170" s="786"/>
      <c r="C170" s="1724"/>
      <c r="D170" s="1737"/>
      <c r="E170" s="1350" t="s">
        <v>977</v>
      </c>
      <c r="F170" s="1351">
        <v>10</v>
      </c>
      <c r="G170" s="1351">
        <v>3</v>
      </c>
      <c r="Z170" s="1047"/>
    </row>
    <row r="171" spans="1:26" ht="28.2" thickBot="1">
      <c r="A171" s="786"/>
      <c r="C171" s="1729" t="s">
        <v>789</v>
      </c>
      <c r="D171" s="1738" t="s">
        <v>973</v>
      </c>
      <c r="E171" s="1352" t="s">
        <v>978</v>
      </c>
      <c r="F171" s="1353">
        <v>0</v>
      </c>
      <c r="G171" s="1353">
        <v>1</v>
      </c>
      <c r="Z171" s="1047"/>
    </row>
    <row r="172" spans="1:26" ht="15" thickBot="1">
      <c r="A172" s="786"/>
      <c r="C172" s="1723"/>
      <c r="D172" s="1733"/>
      <c r="E172" s="1350" t="s">
        <v>974</v>
      </c>
      <c r="F172" s="1351">
        <v>7</v>
      </c>
      <c r="G172" s="1351">
        <v>3</v>
      </c>
      <c r="Z172" s="1047"/>
    </row>
    <row r="173" spans="1:26" ht="15" thickBot="1">
      <c r="A173" s="786"/>
      <c r="C173" s="1723"/>
      <c r="D173" s="1734"/>
      <c r="E173" s="1352" t="s">
        <v>975</v>
      </c>
      <c r="F173" s="1353">
        <v>7</v>
      </c>
      <c r="G173" s="1353">
        <v>2</v>
      </c>
      <c r="Z173" s="1047"/>
    </row>
    <row r="174" spans="1:26" ht="15" thickBot="1">
      <c r="A174" s="786"/>
      <c r="C174" s="1723"/>
      <c r="D174" s="1735" t="s">
        <v>976</v>
      </c>
      <c r="E174" s="1350" t="s">
        <v>974</v>
      </c>
      <c r="F174" s="1351">
        <v>8</v>
      </c>
      <c r="G174" s="1351">
        <v>4</v>
      </c>
      <c r="Z174" s="1047"/>
    </row>
    <row r="175" spans="1:26" ht="15" thickBot="1">
      <c r="A175" s="786"/>
      <c r="C175" s="1724"/>
      <c r="D175" s="1737"/>
      <c r="E175" s="1352" t="s">
        <v>975</v>
      </c>
      <c r="F175" s="1353">
        <v>8</v>
      </c>
      <c r="G175" s="1353">
        <v>7</v>
      </c>
      <c r="Z175" s="1047"/>
    </row>
    <row r="176" spans="1:26" ht="23.4" thickBot="1">
      <c r="A176" s="786"/>
      <c r="C176" s="1344"/>
      <c r="D176" s="1345"/>
      <c r="E176" s="1346" t="s">
        <v>696</v>
      </c>
      <c r="F176" s="1347">
        <v>100</v>
      </c>
      <c r="G176" s="1347">
        <v>60</v>
      </c>
      <c r="Z176" s="1047"/>
    </row>
    <row r="177" spans="1:26">
      <c r="A177" s="786"/>
      <c r="Z177" s="1047"/>
    </row>
    <row r="178" spans="1:26">
      <c r="A178" s="786"/>
      <c r="Z178" s="1047"/>
    </row>
    <row r="179" spans="1:26" ht="15" thickBot="1">
      <c r="A179" s="786"/>
      <c r="C179" s="822" t="s">
        <v>698</v>
      </c>
      <c r="Z179" s="1047"/>
    </row>
    <row r="180" spans="1:26" ht="25.8" thickBot="1">
      <c r="A180" s="786"/>
      <c r="C180" s="1334" t="s">
        <v>971</v>
      </c>
      <c r="D180" s="1334" t="s">
        <v>972</v>
      </c>
      <c r="E180" s="1334" t="s">
        <v>693</v>
      </c>
      <c r="F180" s="1334" t="s">
        <v>699</v>
      </c>
      <c r="G180" s="1334" t="s">
        <v>700</v>
      </c>
      <c r="Z180" s="1047"/>
    </row>
    <row r="181" spans="1:26" ht="39" customHeight="1" thickTop="1" thickBot="1">
      <c r="A181" s="786"/>
      <c r="C181" s="1722" t="s">
        <v>789</v>
      </c>
      <c r="D181" s="1725" t="s">
        <v>973</v>
      </c>
      <c r="E181" s="1335" t="s">
        <v>974</v>
      </c>
      <c r="F181" s="1336">
        <v>6</v>
      </c>
      <c r="G181" s="1336">
        <v>7</v>
      </c>
      <c r="Z181" s="1047"/>
    </row>
    <row r="182" spans="1:26" ht="51.75" customHeight="1" thickBot="1">
      <c r="A182" s="786"/>
      <c r="C182" s="1723"/>
      <c r="D182" s="1726"/>
      <c r="E182" s="1337" t="s">
        <v>975</v>
      </c>
      <c r="F182" s="1338">
        <v>6</v>
      </c>
      <c r="G182" s="1338">
        <v>6</v>
      </c>
      <c r="Z182" s="1047"/>
    </row>
    <row r="183" spans="1:26" ht="51.75" customHeight="1" thickBot="1">
      <c r="A183" s="786"/>
      <c r="C183" s="1723"/>
      <c r="D183" s="1727" t="s">
        <v>976</v>
      </c>
      <c r="E183" s="1339" t="s">
        <v>974</v>
      </c>
      <c r="F183" s="1340">
        <v>6</v>
      </c>
      <c r="G183" s="1340">
        <v>0</v>
      </c>
      <c r="Z183" s="1047"/>
    </row>
    <row r="184" spans="1:26" ht="15" thickBot="1">
      <c r="A184" s="786"/>
      <c r="C184" s="1724"/>
      <c r="D184" s="1728"/>
      <c r="E184" s="1337" t="s">
        <v>975</v>
      </c>
      <c r="F184" s="1338">
        <v>6</v>
      </c>
      <c r="G184" s="1338">
        <v>2</v>
      </c>
      <c r="Z184" s="1047"/>
    </row>
    <row r="185" spans="1:26" ht="51.75" customHeight="1" thickBot="1">
      <c r="A185" s="786"/>
      <c r="C185" s="1729" t="s">
        <v>786</v>
      </c>
      <c r="D185" s="1730" t="s">
        <v>973</v>
      </c>
      <c r="E185" s="1339" t="s">
        <v>974</v>
      </c>
      <c r="F185" s="1340">
        <v>12</v>
      </c>
      <c r="G185" s="1340">
        <v>7</v>
      </c>
      <c r="Z185" s="1047"/>
    </row>
    <row r="186" spans="1:26" ht="15" thickBot="1">
      <c r="A186" s="786"/>
      <c r="C186" s="1723"/>
      <c r="D186" s="1726"/>
      <c r="E186" s="1337" t="s">
        <v>975</v>
      </c>
      <c r="F186" s="1338">
        <v>12</v>
      </c>
      <c r="G186" s="1338">
        <v>10</v>
      </c>
      <c r="Z186" s="1047"/>
    </row>
    <row r="187" spans="1:26" ht="51.75" customHeight="1" thickBot="1">
      <c r="A187" s="786"/>
      <c r="C187" s="1723"/>
      <c r="D187" s="1727" t="s">
        <v>976</v>
      </c>
      <c r="E187" s="1339" t="s">
        <v>974</v>
      </c>
      <c r="F187" s="1340">
        <v>12</v>
      </c>
      <c r="G187" s="1340">
        <v>2</v>
      </c>
      <c r="Z187" s="1047"/>
    </row>
    <row r="188" spans="1:26" ht="15" thickBot="1">
      <c r="A188" s="786"/>
      <c r="C188" s="1723"/>
      <c r="D188" s="1731"/>
      <c r="E188" s="1337" t="s">
        <v>975</v>
      </c>
      <c r="F188" s="1338">
        <v>12</v>
      </c>
      <c r="G188" s="1338">
        <v>10</v>
      </c>
      <c r="Z188" s="1047"/>
    </row>
    <row r="189" spans="1:26" ht="15" thickBot="1">
      <c r="A189" s="786"/>
      <c r="C189" s="1724"/>
      <c r="D189" s="1728"/>
      <c r="E189" s="1339" t="s">
        <v>977</v>
      </c>
      <c r="F189" s="1340">
        <v>8</v>
      </c>
      <c r="G189" s="1340">
        <v>8</v>
      </c>
      <c r="Z189" s="1047"/>
    </row>
    <row r="190" spans="1:26" ht="23.4" thickBot="1">
      <c r="A190" s="786"/>
      <c r="C190" s="1341"/>
      <c r="D190" s="1342"/>
      <c r="E190" s="1343" t="s">
        <v>5</v>
      </c>
      <c r="F190" s="1338">
        <v>80</v>
      </c>
      <c r="G190" s="1338">
        <v>52</v>
      </c>
      <c r="Z190" s="1047"/>
    </row>
    <row r="191" spans="1:26">
      <c r="A191" s="786"/>
      <c r="Z191" s="1047"/>
    </row>
    <row r="192" spans="1:26">
      <c r="Z192" s="1047"/>
    </row>
    <row r="193" spans="1:26">
      <c r="Z193" s="1047"/>
    </row>
    <row r="194" spans="1:26" ht="35.25" customHeight="1">
      <c r="A194" s="786"/>
      <c r="C194" s="1690" t="s">
        <v>778</v>
      </c>
      <c r="D194" s="1690"/>
      <c r="E194" s="1690"/>
      <c r="F194" s="1690"/>
      <c r="G194" s="1690"/>
      <c r="H194" s="1690"/>
      <c r="L194" s="822" t="s">
        <v>720</v>
      </c>
      <c r="Z194" s="1047"/>
    </row>
    <row r="195" spans="1:26" ht="15" thickBot="1">
      <c r="A195" s="786"/>
      <c r="C195" s="822" t="s">
        <v>777</v>
      </c>
      <c r="L195" s="1677" t="s">
        <v>701</v>
      </c>
      <c r="M195" s="1677"/>
      <c r="N195" s="1677"/>
      <c r="O195" s="1677"/>
      <c r="P195" s="1677"/>
      <c r="Q195" s="1677"/>
      <c r="Z195" s="1047"/>
    </row>
    <row r="196" spans="1:26" ht="15.75" customHeight="1" thickBot="1">
      <c r="A196" s="786"/>
      <c r="C196" s="1691" t="s">
        <v>66</v>
      </c>
      <c r="D196" s="1692"/>
      <c r="E196" s="1692"/>
      <c r="F196" s="1692"/>
      <c r="G196" s="1692"/>
      <c r="H196" s="1693"/>
      <c r="L196" s="1119" t="s">
        <v>702</v>
      </c>
      <c r="M196" s="1119" t="s">
        <v>703</v>
      </c>
      <c r="N196" s="1119" t="s">
        <v>704</v>
      </c>
      <c r="O196" s="1119" t="s">
        <v>705</v>
      </c>
      <c r="P196" s="1119" t="s">
        <v>706</v>
      </c>
      <c r="Q196" s="1119" t="s">
        <v>707</v>
      </c>
      <c r="Z196" s="1047"/>
    </row>
    <row r="197" spans="1:26" ht="25.2">
      <c r="A197" s="1565" t="s">
        <v>943</v>
      </c>
      <c r="C197" s="1063" t="s">
        <v>0</v>
      </c>
      <c r="D197" s="1063" t="s">
        <v>702</v>
      </c>
      <c r="E197" s="1064" t="s">
        <v>704</v>
      </c>
      <c r="F197" s="1064" t="s">
        <v>705</v>
      </c>
      <c r="G197" s="1064" t="s">
        <v>706</v>
      </c>
      <c r="H197" s="1064" t="s">
        <v>707</v>
      </c>
      <c r="L197" s="1708" t="s">
        <v>708</v>
      </c>
      <c r="M197" s="1357" t="s">
        <v>709</v>
      </c>
      <c r="N197" s="1358">
        <v>9502</v>
      </c>
      <c r="O197" s="1357">
        <v>38</v>
      </c>
      <c r="P197" s="1357">
        <v>38</v>
      </c>
      <c r="Q197" s="1359">
        <v>0.13300000000000001</v>
      </c>
      <c r="S197" s="916">
        <f>SUM(P197:P200)+P202+P203+P204+P205+P209+P210+P211+P212+P218+P219+P220+P221+P223+P224+P225+P226+P230+P231+P232+P233+P239+P240+P241+P242+P244+P245+P246+P247+P251+P252+P253+P254</f>
        <v>1102</v>
      </c>
      <c r="Z197" s="1047"/>
    </row>
    <row r="198" spans="1:26">
      <c r="A198" s="1565"/>
      <c r="C198" s="1694" t="s">
        <v>256</v>
      </c>
      <c r="D198" s="1065" t="s">
        <v>708</v>
      </c>
      <c r="E198" s="1066">
        <f>'Part_Sample Targets &amp; Completes'!Q6</f>
        <v>49221</v>
      </c>
      <c r="F198" s="1067">
        <f>'Part_Sample Targets &amp; Completes'!R6</f>
        <v>196.86825053995699</v>
      </c>
      <c r="G198" s="1068">
        <f>'Part_Sample Targets &amp; Completes'!S6</f>
        <v>196</v>
      </c>
      <c r="H198" s="1069">
        <f>'Part_Sample Targets &amp; Completes'!T6</f>
        <v>5.8749999999999997E-2</v>
      </c>
      <c r="L198" s="1708"/>
      <c r="M198" s="1357" t="s">
        <v>710</v>
      </c>
      <c r="N198" s="1358">
        <v>20830</v>
      </c>
      <c r="O198" s="1357">
        <v>83</v>
      </c>
      <c r="P198" s="1357">
        <v>83</v>
      </c>
      <c r="Q198" s="1359">
        <v>0.09</v>
      </c>
      <c r="Z198" s="1047"/>
    </row>
    <row r="199" spans="1:26">
      <c r="A199" s="1565"/>
      <c r="C199" s="1694"/>
      <c r="D199" s="1065" t="s">
        <v>714</v>
      </c>
      <c r="E199" s="1066">
        <f>'Part_Sample Targets &amp; Completes'!Q7</f>
        <v>5564</v>
      </c>
      <c r="F199" s="1067">
        <f>'Part_Sample Targets &amp; Completes'!R7</f>
        <v>22.254219662427005</v>
      </c>
      <c r="G199" s="1068">
        <f>'Part_Sample Targets &amp; Completes'!S7</f>
        <v>23</v>
      </c>
      <c r="H199" s="1069">
        <f>'Part_Sample Targets &amp; Completes'!T7</f>
        <v>0.17150310556194401</v>
      </c>
      <c r="L199" s="1708"/>
      <c r="M199" s="1357" t="s">
        <v>711</v>
      </c>
      <c r="N199" s="1358">
        <v>14027</v>
      </c>
      <c r="O199" s="1357">
        <v>56</v>
      </c>
      <c r="P199" s="1357">
        <v>56</v>
      </c>
      <c r="Q199" s="1359">
        <v>0.11</v>
      </c>
      <c r="Z199" s="1047"/>
    </row>
    <row r="200" spans="1:26">
      <c r="A200" s="1565"/>
      <c r="C200" s="1694"/>
      <c r="D200" s="1065" t="s">
        <v>718</v>
      </c>
      <c r="E200" s="1066">
        <f>'Part_Sample Targets &amp; Completes'!Q8</f>
        <v>3860</v>
      </c>
      <c r="F200" s="1067">
        <f>'Part_Sample Targets &amp; Completes'!R8</f>
        <v>27.877529797616187</v>
      </c>
      <c r="G200" s="1068">
        <f>'Part_Sample Targets &amp; Completes'!S8</f>
        <v>28</v>
      </c>
      <c r="H200" s="1069">
        <f>'Part_Sample Targets &amp; Completes'!T8</f>
        <v>0.1554378895250447</v>
      </c>
      <c r="L200" s="1708"/>
      <c r="M200" s="1357" t="s">
        <v>712</v>
      </c>
      <c r="N200" s="1358">
        <v>4862</v>
      </c>
      <c r="O200" s="1357">
        <v>19</v>
      </c>
      <c r="P200" s="1357">
        <v>19</v>
      </c>
      <c r="Q200" s="1359">
        <v>0.189</v>
      </c>
      <c r="Z200" s="1047"/>
    </row>
    <row r="201" spans="1:26">
      <c r="A201" s="1565"/>
      <c r="C201" s="1694"/>
      <c r="D201" s="1074" t="s">
        <v>740</v>
      </c>
      <c r="E201" s="1075">
        <f>'Part_Sample Targets &amp; Completes'!Q9</f>
        <v>58645</v>
      </c>
      <c r="F201" s="1076">
        <f>'Part_Sample Targets &amp; Completes'!R9</f>
        <v>247.00000000000017</v>
      </c>
      <c r="G201" s="1077">
        <f>'Part_Sample Targets &amp; Completes'!S9</f>
        <v>247</v>
      </c>
      <c r="H201" s="1078">
        <f>'Part_Sample Targets &amp; Completes'!T9</f>
        <v>5.2334421754757721E-2</v>
      </c>
      <c r="L201" s="1717" t="s">
        <v>713</v>
      </c>
      <c r="M201" s="1717"/>
      <c r="N201" s="1366">
        <v>49221</v>
      </c>
      <c r="O201" s="1367">
        <v>196</v>
      </c>
      <c r="P201" s="1367">
        <v>196</v>
      </c>
      <c r="Q201" s="1368">
        <v>5.8999999999999997E-2</v>
      </c>
      <c r="Z201" s="1047"/>
    </row>
    <row r="202" spans="1:26">
      <c r="A202" s="1565"/>
      <c r="C202" s="1694" t="s">
        <v>18</v>
      </c>
      <c r="D202" s="1065" t="s">
        <v>708</v>
      </c>
      <c r="E202" s="1066">
        <f>'Part_Sample Targets &amp; Completes'!Q10</f>
        <v>155895</v>
      </c>
      <c r="F202" s="1067">
        <f>'Part_Sample Targets &amp; Completes'!R10</f>
        <v>529.99994769655632</v>
      </c>
      <c r="G202" s="1068">
        <f>'Part_Sample Targets &amp; Completes'!S10</f>
        <v>532</v>
      </c>
      <c r="H202" s="1069">
        <f>'Part_Sample Targets &amp; Completes'!T10</f>
        <v>3.5659897496679437E-2</v>
      </c>
      <c r="L202" s="1708" t="s">
        <v>714</v>
      </c>
      <c r="M202" s="1357" t="s">
        <v>709</v>
      </c>
      <c r="N202" s="1358">
        <v>1999</v>
      </c>
      <c r="O202" s="1357">
        <v>8</v>
      </c>
      <c r="P202" s="1357">
        <v>8</v>
      </c>
      <c r="Q202" s="1359">
        <v>0.29099999999999998</v>
      </c>
      <c r="Z202" s="1047"/>
    </row>
    <row r="203" spans="1:26">
      <c r="A203" s="1565"/>
      <c r="C203" s="1694"/>
      <c r="D203" s="1065" t="s">
        <v>714</v>
      </c>
      <c r="E203" s="1066">
        <f>'Part_Sample Targets &amp; Completes'!Q11</f>
        <v>11603</v>
      </c>
      <c r="F203" s="1067">
        <f>'Part_Sample Targets &amp; Completes'!R11</f>
        <v>39.446995690196239</v>
      </c>
      <c r="G203" s="1068">
        <f>'Part_Sample Targets &amp; Completes'!S11</f>
        <v>40</v>
      </c>
      <c r="H203" s="1069">
        <f>'Part_Sample Targets &amp; Completes'!T11</f>
        <v>0.13004866877442461</v>
      </c>
      <c r="L203" s="1708"/>
      <c r="M203" s="1357" t="s">
        <v>710</v>
      </c>
      <c r="N203" s="1358">
        <v>2482</v>
      </c>
      <c r="O203" s="1357">
        <v>10</v>
      </c>
      <c r="P203" s="1357">
        <v>10</v>
      </c>
      <c r="Q203" s="1359">
        <v>0.26</v>
      </c>
      <c r="Z203" s="1047"/>
    </row>
    <row r="204" spans="1:26">
      <c r="A204" s="1565"/>
      <c r="C204" s="1694"/>
      <c r="D204" s="1065" t="s">
        <v>718</v>
      </c>
      <c r="E204" s="1066">
        <f>'Part_Sample Targets &amp; Completes'!Q12</f>
        <v>11847</v>
      </c>
      <c r="F204" s="1067">
        <f>'Part_Sample Targets &amp; Completes'!R12</f>
        <v>80.553056613247421</v>
      </c>
      <c r="G204" s="1068">
        <f>'Part_Sample Targets &amp; Completes'!S12</f>
        <v>80</v>
      </c>
      <c r="H204" s="1069">
        <f>'Part_Sample Targets &amp; Completes'!T12</f>
        <v>9.1642070831903802E-2</v>
      </c>
      <c r="L204" s="1708"/>
      <c r="M204" s="1357" t="s">
        <v>711</v>
      </c>
      <c r="N204" s="1365">
        <v>835</v>
      </c>
      <c r="O204" s="1357">
        <v>3</v>
      </c>
      <c r="P204" s="1357">
        <v>3</v>
      </c>
      <c r="Q204" s="1359">
        <v>0.47499999999999998</v>
      </c>
      <c r="Z204" s="1047"/>
    </row>
    <row r="205" spans="1:26">
      <c r="A205" s="1565"/>
      <c r="C205" s="1694"/>
      <c r="D205" s="1074" t="s">
        <v>745</v>
      </c>
      <c r="E205" s="1075">
        <f>'Part_Sample Targets &amp; Completes'!Q13</f>
        <v>179345</v>
      </c>
      <c r="F205" s="1076">
        <f>'Part_Sample Targets &amp; Completes'!R13</f>
        <v>650</v>
      </c>
      <c r="G205" s="1077">
        <f>'Part_Sample Targets &amp; Completes'!S13</f>
        <v>652</v>
      </c>
      <c r="H205" s="1078">
        <f>'Part_Sample Targets &amp; Completes'!T13</f>
        <v>3.2211586005754744E-2</v>
      </c>
      <c r="L205" s="1708"/>
      <c r="M205" s="1357" t="s">
        <v>712</v>
      </c>
      <c r="N205" s="1365">
        <v>248</v>
      </c>
      <c r="O205" s="1357">
        <v>1</v>
      </c>
      <c r="P205" s="1357">
        <v>2</v>
      </c>
      <c r="Q205" s="1359">
        <v>0.58199999999999996</v>
      </c>
      <c r="Z205" s="1047"/>
    </row>
    <row r="206" spans="1:26">
      <c r="A206" s="1565"/>
      <c r="C206" s="1694" t="s">
        <v>257</v>
      </c>
      <c r="D206" s="1065" t="s">
        <v>708</v>
      </c>
      <c r="E206" s="1066">
        <f>'Part_Sample Targets &amp; Completes'!Q14</f>
        <v>33577</v>
      </c>
      <c r="F206" s="1067">
        <f>'Part_Sample Targets &amp; Completes'!R14</f>
        <v>152.942516170174</v>
      </c>
      <c r="G206" s="1068">
        <f>'Part_Sample Targets &amp; Completes'!S14</f>
        <v>154</v>
      </c>
      <c r="H206" s="1069">
        <f>'Part_Sample Targets &amp; Completes'!T14</f>
        <v>6.6278938791087524E-2</v>
      </c>
      <c r="L206" s="1718" t="s">
        <v>713</v>
      </c>
      <c r="M206" s="1718"/>
      <c r="N206" s="1360">
        <v>5564</v>
      </c>
      <c r="O206" s="1361">
        <v>22</v>
      </c>
      <c r="P206" s="1361">
        <v>23</v>
      </c>
      <c r="Q206" s="1362">
        <v>0.17199999999999999</v>
      </c>
      <c r="Z206" s="1047"/>
    </row>
    <row r="207" spans="1:26">
      <c r="A207" s="1565"/>
      <c r="C207" s="1694"/>
      <c r="D207" s="1065" t="s">
        <v>714</v>
      </c>
      <c r="E207" s="1066">
        <f>'Part_Sample Targets &amp; Completes'!Q15</f>
        <v>3269</v>
      </c>
      <c r="F207" s="1067">
        <f>'Part_Sample Targets &amp; Completes'!R15</f>
        <v>14.890225015942423</v>
      </c>
      <c r="G207" s="1068">
        <f>'Part_Sample Targets &amp; Completes'!S15</f>
        <v>16</v>
      </c>
      <c r="H207" s="1069">
        <f>'Part_Sample Targets &amp; Completes'!T15</f>
        <v>0.205625</v>
      </c>
      <c r="L207" s="1677" t="s">
        <v>715</v>
      </c>
      <c r="M207" s="1677"/>
      <c r="N207" s="1677"/>
      <c r="O207" s="1677"/>
      <c r="P207" s="1677"/>
      <c r="Q207" s="1677"/>
      <c r="Z207" s="1047"/>
    </row>
    <row r="208" spans="1:26" ht="37.799999999999997">
      <c r="A208" s="1565"/>
      <c r="C208" s="1694"/>
      <c r="D208" s="1065" t="s">
        <v>718</v>
      </c>
      <c r="E208" s="1066">
        <f>'Part_Sample Targets &amp; Completes'!Q16</f>
        <v>3531</v>
      </c>
      <c r="F208" s="1067">
        <f>'Part_Sample Targets &amp; Completes'!R16</f>
        <v>32.167258813883571</v>
      </c>
      <c r="G208" s="1068">
        <f>'Part_Sample Targets &amp; Completes'!S16</f>
        <v>33</v>
      </c>
      <c r="H208" s="1069">
        <f>'Part_Sample Targets &amp; Completes'!T16</f>
        <v>9.1642070831903802E-2</v>
      </c>
      <c r="L208" s="1119" t="s">
        <v>716</v>
      </c>
      <c r="M208" s="1119" t="s">
        <v>717</v>
      </c>
      <c r="N208" s="1119" t="s">
        <v>704</v>
      </c>
      <c r="O208" s="1119" t="s">
        <v>705</v>
      </c>
      <c r="P208" s="1119" t="s">
        <v>706</v>
      </c>
      <c r="Q208" s="1119" t="s">
        <v>707</v>
      </c>
      <c r="Z208" s="1047"/>
    </row>
    <row r="209" spans="1:26">
      <c r="A209" s="1565"/>
      <c r="C209" s="1694"/>
      <c r="D209" s="1074" t="s">
        <v>752</v>
      </c>
      <c r="E209" s="1075">
        <f>'Part_Sample Targets &amp; Completes'!Q17</f>
        <v>40377</v>
      </c>
      <c r="F209" s="1076">
        <f>'Part_Sample Targets &amp; Completes'!R17</f>
        <v>200</v>
      </c>
      <c r="G209" s="1077">
        <f>'Part_Sample Targets &amp; Completes'!S17</f>
        <v>203</v>
      </c>
      <c r="H209" s="1078">
        <f>'Part_Sample Targets &amp; Completes'!T17</f>
        <v>5.7728182921760809E-2</v>
      </c>
      <c r="L209" s="1333" t="s">
        <v>718</v>
      </c>
      <c r="M209" s="1357" t="s">
        <v>709</v>
      </c>
      <c r="N209" s="1365">
        <v>497</v>
      </c>
      <c r="O209" s="1357">
        <v>4</v>
      </c>
      <c r="P209" s="1357">
        <v>4</v>
      </c>
      <c r="Q209" s="1359">
        <v>0.41099999999999998</v>
      </c>
      <c r="Z209" s="1047"/>
    </row>
    <row r="210" spans="1:26" ht="66">
      <c r="A210" s="1565"/>
      <c r="C210" s="1695" t="s">
        <v>779</v>
      </c>
      <c r="D210" s="1695"/>
      <c r="E210" s="1079">
        <f>'Part_Sample Targets &amp; Completes'!Q18</f>
        <v>278367</v>
      </c>
      <c r="F210" s="1080">
        <f>'Part_Sample Targets &amp; Completes'!R18</f>
        <v>1097.0000000000002</v>
      </c>
      <c r="G210" s="1081">
        <f>'Part_Sample Targets &amp; Completes'!S18</f>
        <v>1102</v>
      </c>
      <c r="H210" s="1082">
        <f>'Part_Sample Targets &amp; Completes'!T18</f>
        <v>2.4776793962420992E-2</v>
      </c>
      <c r="J210" s="916">
        <f>G210+I233</f>
        <v>1905</v>
      </c>
      <c r="L210" s="1363" t="s">
        <v>719</v>
      </c>
      <c r="M210" s="1357" t="s">
        <v>710</v>
      </c>
      <c r="N210" s="1358">
        <v>1678</v>
      </c>
      <c r="O210" s="1357">
        <v>11</v>
      </c>
      <c r="P210" s="1357">
        <v>11</v>
      </c>
      <c r="Q210" s="1359">
        <v>0.191</v>
      </c>
      <c r="Z210" s="1047"/>
    </row>
    <row r="211" spans="1:26">
      <c r="A211" s="786"/>
      <c r="L211" s="1364"/>
      <c r="M211" s="1357" t="s">
        <v>711</v>
      </c>
      <c r="N211" s="1358">
        <v>1360</v>
      </c>
      <c r="O211" s="1357">
        <v>10</v>
      </c>
      <c r="P211" s="1357">
        <v>10</v>
      </c>
      <c r="Q211" s="1359">
        <v>0.249</v>
      </c>
      <c r="Z211" s="1047"/>
    </row>
    <row r="212" spans="1:26">
      <c r="A212" s="786"/>
      <c r="L212" s="1364"/>
      <c r="M212" s="1357" t="s">
        <v>712</v>
      </c>
      <c r="N212" s="1365">
        <v>325</v>
      </c>
      <c r="O212" s="1357">
        <v>3</v>
      </c>
      <c r="P212" s="1357">
        <v>3</v>
      </c>
      <c r="Q212" s="1359">
        <v>0.50600000000000001</v>
      </c>
      <c r="Z212" s="1047"/>
    </row>
    <row r="213" spans="1:26">
      <c r="A213" s="786"/>
      <c r="L213" s="1719" t="s">
        <v>5</v>
      </c>
      <c r="M213" s="1719"/>
      <c r="N213" s="1366">
        <v>3860</v>
      </c>
      <c r="O213" s="1367">
        <v>28</v>
      </c>
      <c r="P213" s="1367">
        <v>28</v>
      </c>
      <c r="Q213" s="1368">
        <v>9.1999999999999998E-2</v>
      </c>
      <c r="Z213" s="1047"/>
    </row>
    <row r="214" spans="1:26">
      <c r="A214" s="786"/>
      <c r="Z214" s="1047"/>
    </row>
    <row r="215" spans="1:26" ht="15" thickBot="1">
      <c r="A215" s="786"/>
      <c r="C215" s="822" t="s">
        <v>780</v>
      </c>
      <c r="D215"/>
      <c r="E215"/>
      <c r="F215"/>
      <c r="G215"/>
      <c r="H215"/>
      <c r="I215"/>
      <c r="J215"/>
      <c r="K215"/>
      <c r="L215" s="822" t="s">
        <v>724</v>
      </c>
      <c r="Z215" s="1047"/>
    </row>
    <row r="216" spans="1:26">
      <c r="A216" s="786"/>
      <c r="C216" s="1687" t="s">
        <v>0</v>
      </c>
      <c r="D216" s="1687" t="s">
        <v>781</v>
      </c>
      <c r="E216" s="1687" t="s">
        <v>782</v>
      </c>
      <c r="F216" s="1687" t="s">
        <v>783</v>
      </c>
      <c r="G216" s="1687" t="s">
        <v>784</v>
      </c>
      <c r="H216" s="1687" t="s">
        <v>785</v>
      </c>
      <c r="I216" s="1687" t="s">
        <v>706</v>
      </c>
      <c r="J216" s="1687" t="s">
        <v>707</v>
      </c>
      <c r="K216" s="1091"/>
      <c r="L216" s="1677" t="s">
        <v>721</v>
      </c>
      <c r="M216" s="1677"/>
      <c r="N216" s="1677"/>
      <c r="O216" s="1677"/>
      <c r="P216" s="1677"/>
      <c r="Q216" s="1677"/>
      <c r="Z216" s="1047"/>
    </row>
    <row r="217" spans="1:26" ht="38.4" thickBot="1">
      <c r="A217" s="786"/>
      <c r="C217" s="1688"/>
      <c r="D217" s="1688"/>
      <c r="E217" s="1688"/>
      <c r="F217" s="1688"/>
      <c r="G217" s="1688"/>
      <c r="H217" s="1688"/>
      <c r="I217" s="1688"/>
      <c r="J217" s="1688"/>
      <c r="K217" s="1091"/>
      <c r="L217" s="1119" t="s">
        <v>702</v>
      </c>
      <c r="M217" s="1119" t="s">
        <v>703</v>
      </c>
      <c r="N217" s="1119" t="s">
        <v>704</v>
      </c>
      <c r="O217" s="1119" t="s">
        <v>705</v>
      </c>
      <c r="P217" s="1119" t="s">
        <v>706</v>
      </c>
      <c r="Q217" s="1119" t="s">
        <v>707</v>
      </c>
      <c r="Z217" s="1047"/>
    </row>
    <row r="218" spans="1:26" ht="15" thickBot="1">
      <c r="A218" s="786"/>
      <c r="C218" s="1689" t="s">
        <v>256</v>
      </c>
      <c r="D218" s="1092" t="s">
        <v>786</v>
      </c>
      <c r="E218" s="1058" t="s">
        <v>787</v>
      </c>
      <c r="F218" s="1129">
        <v>119</v>
      </c>
      <c r="G218" s="1129">
        <v>86</v>
      </c>
      <c r="H218" s="1130">
        <v>54</v>
      </c>
      <c r="I218" s="1129">
        <v>119</v>
      </c>
      <c r="J218" s="1131">
        <v>7.4999999999999997E-2</v>
      </c>
      <c r="K218" s="1091"/>
      <c r="L218" s="1708" t="s">
        <v>708</v>
      </c>
      <c r="M218" s="1357">
        <v>1989</v>
      </c>
      <c r="N218" s="1358">
        <v>59048</v>
      </c>
      <c r="O218" s="1357">
        <v>201</v>
      </c>
      <c r="P218" s="1357">
        <v>201</v>
      </c>
      <c r="Q218" s="1359">
        <v>5.8000000000000003E-2</v>
      </c>
      <c r="Z218" s="1047"/>
    </row>
    <row r="219" spans="1:26" ht="15" thickBot="1">
      <c r="A219" s="786"/>
      <c r="C219" s="1684"/>
      <c r="D219" s="1092" t="s">
        <v>786</v>
      </c>
      <c r="E219" s="1058" t="s">
        <v>788</v>
      </c>
      <c r="F219" s="1129">
        <v>66</v>
      </c>
      <c r="G219" s="1129">
        <v>42</v>
      </c>
      <c r="H219" s="1130">
        <v>32</v>
      </c>
      <c r="I219" s="1129">
        <v>66</v>
      </c>
      <c r="J219" s="1131">
        <v>0.10100000000000001</v>
      </c>
      <c r="K219" s="1091"/>
      <c r="L219" s="1708"/>
      <c r="M219" s="1357">
        <v>1993</v>
      </c>
      <c r="N219" s="1358">
        <v>39021</v>
      </c>
      <c r="O219" s="1357">
        <v>133</v>
      </c>
      <c r="P219" s="1357">
        <v>133</v>
      </c>
      <c r="Q219" s="1359">
        <v>7.0999999999999994E-2</v>
      </c>
      <c r="Z219" s="1047"/>
    </row>
    <row r="220" spans="1:26" ht="15" thickBot="1">
      <c r="A220" s="786"/>
      <c r="C220" s="1684"/>
      <c r="D220" s="1092" t="s">
        <v>789</v>
      </c>
      <c r="E220" s="1058" t="s">
        <v>787</v>
      </c>
      <c r="F220" s="1129">
        <v>198</v>
      </c>
      <c r="G220" s="1129">
        <v>85</v>
      </c>
      <c r="H220" s="1130">
        <v>68</v>
      </c>
      <c r="I220" s="1129">
        <v>125</v>
      </c>
      <c r="J220" s="1131">
        <v>7.3999999999999996E-2</v>
      </c>
      <c r="K220" s="1091"/>
      <c r="L220" s="1708"/>
      <c r="M220" s="1357">
        <v>1996</v>
      </c>
      <c r="N220" s="1358">
        <v>37408</v>
      </c>
      <c r="O220" s="1357">
        <v>127</v>
      </c>
      <c r="P220" s="1357">
        <v>127</v>
      </c>
      <c r="Q220" s="1359">
        <v>7.2999999999999995E-2</v>
      </c>
      <c r="Z220" s="1047"/>
    </row>
    <row r="221" spans="1:26" ht="15" thickBot="1">
      <c r="A221" s="786"/>
      <c r="C221" s="1685"/>
      <c r="D221" s="1092" t="s">
        <v>789</v>
      </c>
      <c r="E221" s="1058" t="s">
        <v>788</v>
      </c>
      <c r="F221" s="1129">
        <v>57</v>
      </c>
      <c r="G221" s="1129">
        <v>44</v>
      </c>
      <c r="H221" s="1130">
        <v>24</v>
      </c>
      <c r="I221" s="1129">
        <v>54</v>
      </c>
      <c r="J221" s="1131">
        <v>0.112</v>
      </c>
      <c r="K221" s="1091"/>
      <c r="L221" s="1708"/>
      <c r="M221" s="1357">
        <v>2000</v>
      </c>
      <c r="N221" s="1358">
        <v>20418</v>
      </c>
      <c r="O221" s="1357">
        <v>69</v>
      </c>
      <c r="P221" s="1357">
        <v>71</v>
      </c>
      <c r="Q221" s="1359">
        <v>9.8000000000000004E-2</v>
      </c>
      <c r="Z221" s="1047"/>
    </row>
    <row r="222" spans="1:26" ht="15" thickBot="1">
      <c r="A222" s="786"/>
      <c r="C222" s="1680" t="s">
        <v>790</v>
      </c>
      <c r="D222" s="1681"/>
      <c r="E222" s="1682"/>
      <c r="F222" s="1132">
        <v>440</v>
      </c>
      <c r="G222" s="1132">
        <v>257</v>
      </c>
      <c r="H222" s="1133">
        <v>178</v>
      </c>
      <c r="I222" s="1132">
        <v>364</v>
      </c>
      <c r="J222" s="1134">
        <v>4.2999999999999997E-2</v>
      </c>
      <c r="K222" s="1091"/>
      <c r="L222" s="1739" t="s">
        <v>722</v>
      </c>
      <c r="M222" s="1739"/>
      <c r="N222" s="1366">
        <v>155895</v>
      </c>
      <c r="O222" s="1367">
        <v>530</v>
      </c>
      <c r="P222" s="1367">
        <v>532</v>
      </c>
      <c r="Q222" s="1368">
        <v>3.5999999999999997E-2</v>
      </c>
      <c r="Z222" s="1047"/>
    </row>
    <row r="223" spans="1:26" ht="15" thickBot="1">
      <c r="A223" s="786"/>
      <c r="C223" s="1683" t="s">
        <v>18</v>
      </c>
      <c r="D223" s="1092" t="s">
        <v>786</v>
      </c>
      <c r="E223" s="1058" t="s">
        <v>787</v>
      </c>
      <c r="F223" s="1129">
        <v>220</v>
      </c>
      <c r="G223" s="1129">
        <v>158</v>
      </c>
      <c r="H223" s="1130">
        <v>95</v>
      </c>
      <c r="I223" s="1129">
        <v>207</v>
      </c>
      <c r="J223" s="1131">
        <v>5.7000000000000002E-2</v>
      </c>
      <c r="K223" s="1091"/>
      <c r="L223" s="1708" t="s">
        <v>714</v>
      </c>
      <c r="M223" s="1357">
        <v>1989</v>
      </c>
      <c r="N223" s="1358">
        <v>6815</v>
      </c>
      <c r="O223" s="1357">
        <v>23</v>
      </c>
      <c r="P223" s="1372">
        <f>'Part_Sample Targets &amp; Completes'!J30</f>
        <v>24</v>
      </c>
      <c r="Q223" s="1373">
        <f>'Part_Sample Targets &amp; Completes'!K30</f>
        <v>0.16789210945326366</v>
      </c>
      <c r="Z223" s="1047"/>
    </row>
    <row r="224" spans="1:26" ht="15" thickBot="1">
      <c r="A224" s="786"/>
      <c r="C224" s="1684"/>
      <c r="D224" s="1092" t="s">
        <v>786</v>
      </c>
      <c r="E224" s="1058" t="s">
        <v>788</v>
      </c>
      <c r="F224" s="1129">
        <v>127</v>
      </c>
      <c r="G224" s="1129">
        <v>76</v>
      </c>
      <c r="H224" s="1130">
        <v>41</v>
      </c>
      <c r="I224" s="1129">
        <v>101</v>
      </c>
      <c r="J224" s="1131">
        <v>8.2000000000000003E-2</v>
      </c>
      <c r="K224" s="1091"/>
      <c r="L224" s="1708"/>
      <c r="M224" s="1357">
        <v>1993</v>
      </c>
      <c r="N224" s="1358">
        <v>1902</v>
      </c>
      <c r="O224" s="1357">
        <v>6</v>
      </c>
      <c r="P224" s="1372">
        <f>'Part_Sample Targets &amp; Completes'!J31</f>
        <v>6</v>
      </c>
      <c r="Q224" s="1373">
        <f>'Part_Sample Targets &amp; Completes'!K31</f>
        <v>0.33578421890652732</v>
      </c>
      <c r="Z224" s="1047"/>
    </row>
    <row r="225" spans="1:26" ht="15" thickBot="1">
      <c r="A225" s="786"/>
      <c r="C225" s="1684"/>
      <c r="D225" s="1092" t="s">
        <v>789</v>
      </c>
      <c r="E225" s="1058" t="s">
        <v>787</v>
      </c>
      <c r="F225" s="1129">
        <v>74</v>
      </c>
      <c r="G225" s="1129">
        <v>47</v>
      </c>
      <c r="H225" s="1130">
        <v>26</v>
      </c>
      <c r="I225" s="1129">
        <v>60</v>
      </c>
      <c r="J225" s="1131">
        <v>0.106</v>
      </c>
      <c r="K225" s="1091"/>
      <c r="L225" s="1708"/>
      <c r="M225" s="1357">
        <v>1996</v>
      </c>
      <c r="N225" s="1358">
        <v>1767</v>
      </c>
      <c r="O225" s="1357">
        <v>6</v>
      </c>
      <c r="P225" s="1372">
        <f>'Part_Sample Targets &amp; Completes'!J32</f>
        <v>6</v>
      </c>
      <c r="Q225" s="1373">
        <f>'Part_Sample Targets &amp; Completes'!K32</f>
        <v>0.33578421890652732</v>
      </c>
      <c r="Z225" s="1047"/>
    </row>
    <row r="226" spans="1:26" ht="15" thickBot="1">
      <c r="A226" s="786"/>
      <c r="C226" s="1685"/>
      <c r="D226" s="1092" t="s">
        <v>789</v>
      </c>
      <c r="E226" s="1058" t="s">
        <v>788</v>
      </c>
      <c r="F226" s="1129">
        <v>17</v>
      </c>
      <c r="G226" s="1129">
        <v>10</v>
      </c>
      <c r="H226" s="1130">
        <v>9</v>
      </c>
      <c r="I226" s="1129">
        <v>17</v>
      </c>
      <c r="J226" s="1131">
        <v>0.19900000000000001</v>
      </c>
      <c r="K226" s="1091"/>
      <c r="L226" s="1708"/>
      <c r="M226" s="1357">
        <v>2000</v>
      </c>
      <c r="N226" s="1358">
        <v>1119</v>
      </c>
      <c r="O226" s="1357">
        <v>4</v>
      </c>
      <c r="P226" s="1372">
        <f>'Part_Sample Targets &amp; Completes'!J33</f>
        <v>4</v>
      </c>
      <c r="Q226" s="1373">
        <f>'Part_Sample Targets &amp; Completes'!K33</f>
        <v>0.41125</v>
      </c>
      <c r="Z226" s="1047"/>
    </row>
    <row r="227" spans="1:26" ht="15" thickBot="1">
      <c r="A227" s="786"/>
      <c r="C227" s="1680" t="s">
        <v>791</v>
      </c>
      <c r="D227" s="1681"/>
      <c r="E227" s="1682"/>
      <c r="F227" s="1132">
        <v>438</v>
      </c>
      <c r="G227" s="1132">
        <v>291</v>
      </c>
      <c r="H227" s="1133">
        <v>171</v>
      </c>
      <c r="I227" s="1132">
        <v>385</v>
      </c>
      <c r="J227" s="1134">
        <v>4.2000000000000003E-2</v>
      </c>
      <c r="K227" s="1091"/>
      <c r="L227" s="1718" t="s">
        <v>713</v>
      </c>
      <c r="M227" s="1718"/>
      <c r="N227" s="1360">
        <v>11603</v>
      </c>
      <c r="O227" s="1361">
        <v>39</v>
      </c>
      <c r="P227" s="1374">
        <f>SUM(P223:P226)</f>
        <v>40</v>
      </c>
      <c r="Q227" s="1373">
        <f>'Part_Sample Targets &amp; Completes'!K34</f>
        <v>0.13004866877442461</v>
      </c>
      <c r="Z227" s="1047"/>
    </row>
    <row r="228" spans="1:26" ht="15" thickBot="1">
      <c r="A228" s="786"/>
      <c r="C228" s="1683" t="s">
        <v>257</v>
      </c>
      <c r="D228" s="1092" t="s">
        <v>786</v>
      </c>
      <c r="E228" s="1058" t="s">
        <v>787</v>
      </c>
      <c r="F228" s="1129">
        <v>26</v>
      </c>
      <c r="G228" s="1129">
        <v>15</v>
      </c>
      <c r="H228" s="1130">
        <v>9</v>
      </c>
      <c r="I228" s="1129">
        <v>20</v>
      </c>
      <c r="J228" s="1131">
        <v>0.184</v>
      </c>
      <c r="K228" s="1091"/>
      <c r="L228" s="1740" t="s">
        <v>723</v>
      </c>
      <c r="M228" s="1740"/>
      <c r="N228" s="1740"/>
      <c r="O228" s="1740"/>
      <c r="P228" s="1740"/>
      <c r="Q228" s="1740"/>
      <c r="Z228" s="1047"/>
    </row>
    <row r="229" spans="1:26" ht="38.4" thickBot="1">
      <c r="A229" s="786"/>
      <c r="C229" s="1684"/>
      <c r="D229" s="1092" t="s">
        <v>786</v>
      </c>
      <c r="E229" s="1058" t="s">
        <v>788</v>
      </c>
      <c r="F229" s="1129">
        <v>12</v>
      </c>
      <c r="G229" s="1129">
        <v>6</v>
      </c>
      <c r="H229" s="1130">
        <v>4</v>
      </c>
      <c r="I229" s="1129">
        <v>8</v>
      </c>
      <c r="J229" s="1131">
        <v>0.29099999999999998</v>
      </c>
      <c r="K229" s="1091"/>
      <c r="L229" s="1119" t="s">
        <v>716</v>
      </c>
      <c r="M229" s="1119" t="s">
        <v>717</v>
      </c>
      <c r="N229" s="1119" t="s">
        <v>704</v>
      </c>
      <c r="O229" s="1119" t="s">
        <v>705</v>
      </c>
      <c r="P229" s="1119" t="s">
        <v>706</v>
      </c>
      <c r="Q229" s="1119" t="s">
        <v>707</v>
      </c>
      <c r="Z229" s="1047"/>
    </row>
    <row r="230" spans="1:26" ht="15" thickBot="1">
      <c r="A230" s="786"/>
      <c r="C230" s="1684"/>
      <c r="D230" s="1092" t="s">
        <v>789</v>
      </c>
      <c r="E230" s="1058" t="s">
        <v>787</v>
      </c>
      <c r="F230" s="1129">
        <v>64</v>
      </c>
      <c r="G230" s="1129">
        <v>24</v>
      </c>
      <c r="H230" s="1130">
        <v>16</v>
      </c>
      <c r="I230" s="1129">
        <v>30</v>
      </c>
      <c r="J230" s="1131">
        <v>0.15</v>
      </c>
      <c r="K230" s="1091"/>
      <c r="L230" s="1333" t="s">
        <v>718</v>
      </c>
      <c r="M230" s="1357">
        <v>1989</v>
      </c>
      <c r="N230" s="1358">
        <v>7115</v>
      </c>
      <c r="O230" s="1357">
        <v>48</v>
      </c>
      <c r="P230" s="1357">
        <v>48</v>
      </c>
      <c r="Q230" s="1359">
        <v>0.11899999999999999</v>
      </c>
      <c r="Z230" s="1047"/>
    </row>
    <row r="231" spans="1:26" ht="66.599999999999994" thickBot="1">
      <c r="A231" s="786"/>
      <c r="C231" s="1685"/>
      <c r="D231" s="1092" t="s">
        <v>789</v>
      </c>
      <c r="E231" s="1058" t="s">
        <v>788</v>
      </c>
      <c r="F231" s="1129">
        <v>20</v>
      </c>
      <c r="G231" s="1129">
        <v>15</v>
      </c>
      <c r="H231" s="1130">
        <v>8</v>
      </c>
      <c r="I231" s="1129">
        <v>16</v>
      </c>
      <c r="J231" s="1131">
        <v>0.20599999999999999</v>
      </c>
      <c r="K231" s="1091"/>
      <c r="L231" s="1363" t="s">
        <v>719</v>
      </c>
      <c r="M231" s="1357">
        <v>1993</v>
      </c>
      <c r="N231" s="1358">
        <v>2739</v>
      </c>
      <c r="O231" s="1357">
        <v>19</v>
      </c>
      <c r="P231" s="1357">
        <v>19</v>
      </c>
      <c r="Q231" s="1359">
        <v>0.191</v>
      </c>
      <c r="Z231" s="1047"/>
    </row>
    <row r="232" spans="1:26" ht="15" thickBot="1">
      <c r="A232" s="786"/>
      <c r="C232" s="1680" t="s">
        <v>792</v>
      </c>
      <c r="D232" s="1681"/>
      <c r="E232" s="1682"/>
      <c r="F232" s="1132">
        <v>122</v>
      </c>
      <c r="G232" s="1132">
        <v>60</v>
      </c>
      <c r="H232" s="1133">
        <v>37</v>
      </c>
      <c r="I232" s="1132">
        <v>74</v>
      </c>
      <c r="J232" s="1134">
        <v>0.112</v>
      </c>
      <c r="K232" s="1091"/>
      <c r="L232" s="1364"/>
      <c r="M232" s="1357">
        <v>1996</v>
      </c>
      <c r="N232" s="1358">
        <v>1604</v>
      </c>
      <c r="O232" s="1357">
        <v>11</v>
      </c>
      <c r="P232" s="1357">
        <v>11</v>
      </c>
      <c r="Q232" s="1359">
        <v>0.249</v>
      </c>
      <c r="Z232" s="1047"/>
    </row>
    <row r="233" spans="1:26" ht="15" thickBot="1">
      <c r="A233" s="786"/>
      <c r="C233" s="1680" t="s">
        <v>793</v>
      </c>
      <c r="D233" s="1681"/>
      <c r="E233" s="1682"/>
      <c r="F233" s="1132">
        <v>1000</v>
      </c>
      <c r="G233" s="1132">
        <v>608</v>
      </c>
      <c r="H233" s="1133">
        <v>386</v>
      </c>
      <c r="I233" s="1132">
        <v>803</v>
      </c>
      <c r="J233" s="1134">
        <v>2.9000000000000001E-2</v>
      </c>
      <c r="K233" s="1091"/>
      <c r="L233" s="1364"/>
      <c r="M233" s="1357">
        <v>2000</v>
      </c>
      <c r="N233" s="1365">
        <v>389</v>
      </c>
      <c r="O233" s="1357">
        <v>3</v>
      </c>
      <c r="P233" s="1357">
        <v>2</v>
      </c>
      <c r="Q233" s="1359">
        <v>0.50600000000000001</v>
      </c>
      <c r="Z233" s="1047"/>
    </row>
    <row r="234" spans="1:26">
      <c r="A234" s="786"/>
      <c r="L234" s="1717" t="s">
        <v>713</v>
      </c>
      <c r="M234" s="1717"/>
      <c r="N234" s="1366">
        <v>11847</v>
      </c>
      <c r="O234" s="1367">
        <v>81</v>
      </c>
      <c r="P234" s="1367">
        <v>80</v>
      </c>
      <c r="Q234" s="1368">
        <v>9.1999999999999998E-2</v>
      </c>
      <c r="Z234" s="1047"/>
    </row>
    <row r="235" spans="1:26">
      <c r="A235" s="786"/>
      <c r="Z235" s="1047"/>
    </row>
    <row r="236" spans="1:26">
      <c r="A236" s="786"/>
      <c r="L236" s="822" t="s">
        <v>725</v>
      </c>
      <c r="Z236" s="1047"/>
    </row>
    <row r="237" spans="1:26">
      <c r="A237" s="786"/>
      <c r="C237" s="822" t="s">
        <v>796</v>
      </c>
      <c r="L237" s="1677" t="s">
        <v>701</v>
      </c>
      <c r="M237" s="1677"/>
      <c r="N237" s="1677"/>
      <c r="O237" s="1677"/>
      <c r="P237" s="1677"/>
      <c r="Q237" s="1677"/>
      <c r="Z237" s="1047"/>
    </row>
    <row r="238" spans="1:26" ht="37.799999999999997">
      <c r="A238" s="786"/>
      <c r="C238" s="916" t="s">
        <v>908</v>
      </c>
      <c r="E238" s="916" t="s">
        <v>909</v>
      </c>
      <c r="L238" s="1119" t="s">
        <v>702</v>
      </c>
      <c r="M238" s="1119" t="s">
        <v>703</v>
      </c>
      <c r="N238" s="1119" t="s">
        <v>704</v>
      </c>
      <c r="O238" s="1119" t="s">
        <v>705</v>
      </c>
      <c r="P238" s="1119" t="s">
        <v>706</v>
      </c>
      <c r="Q238" s="1119" t="s">
        <v>707</v>
      </c>
      <c r="Z238" s="1047"/>
    </row>
    <row r="239" spans="1:26" ht="15">
      <c r="A239" s="786"/>
      <c r="C239" s="1094" t="s">
        <v>797</v>
      </c>
      <c r="L239" s="1708" t="s">
        <v>708</v>
      </c>
      <c r="M239" s="1357" t="s">
        <v>709</v>
      </c>
      <c r="N239" s="1365">
        <v>326</v>
      </c>
      <c r="O239" s="1357">
        <v>1</v>
      </c>
      <c r="P239" s="1357">
        <v>2</v>
      </c>
      <c r="Q239" s="1359">
        <v>0.58199999999999996</v>
      </c>
      <c r="Z239" s="1047"/>
    </row>
    <row r="240" spans="1:26">
      <c r="A240" s="786"/>
      <c r="C240" s="1095" t="s">
        <v>798</v>
      </c>
      <c r="L240" s="1708"/>
      <c r="M240" s="1357" t="s">
        <v>710</v>
      </c>
      <c r="N240" s="1358">
        <v>6214</v>
      </c>
      <c r="O240" s="1357">
        <v>28</v>
      </c>
      <c r="P240" s="1357">
        <v>28</v>
      </c>
      <c r="Q240" s="1359">
        <v>0.155</v>
      </c>
      <c r="Z240" s="1047"/>
    </row>
    <row r="241" spans="1:26">
      <c r="A241" s="786"/>
      <c r="L241" s="1708"/>
      <c r="M241" s="1357" t="s">
        <v>711</v>
      </c>
      <c r="N241" s="1358">
        <v>11328</v>
      </c>
      <c r="O241" s="1357">
        <v>52</v>
      </c>
      <c r="P241" s="1357">
        <v>52</v>
      </c>
      <c r="Q241" s="1359">
        <v>0.114</v>
      </c>
      <c r="Z241" s="1047"/>
    </row>
    <row r="242" spans="1:26">
      <c r="A242" s="786"/>
      <c r="C242" s="822" t="s">
        <v>844</v>
      </c>
      <c r="L242" s="1708"/>
      <c r="M242" s="1357" t="s">
        <v>712</v>
      </c>
      <c r="N242" s="1358">
        <v>15709</v>
      </c>
      <c r="O242" s="1357">
        <v>72</v>
      </c>
      <c r="P242" s="1357">
        <v>72</v>
      </c>
      <c r="Q242" s="1359">
        <v>9.7000000000000003E-2</v>
      </c>
      <c r="Z242" s="1047"/>
    </row>
    <row r="243" spans="1:26">
      <c r="A243" s="786"/>
      <c r="C243" s="1135" t="s">
        <v>845</v>
      </c>
      <c r="D243" s="1135" t="s">
        <v>594</v>
      </c>
      <c r="E243" s="1135" t="s">
        <v>319</v>
      </c>
      <c r="F243" s="1135" t="s">
        <v>293</v>
      </c>
      <c r="L243" s="1716" t="s">
        <v>5</v>
      </c>
      <c r="M243" s="1716"/>
      <c r="N243" s="1137">
        <v>33577</v>
      </c>
      <c r="O243" s="1138">
        <v>153</v>
      </c>
      <c r="P243" s="1138">
        <v>154</v>
      </c>
      <c r="Q243" s="1139">
        <v>6.6000000000000003E-2</v>
      </c>
      <c r="Z243" s="1047"/>
    </row>
    <row r="244" spans="1:26">
      <c r="A244" s="786"/>
      <c r="C244" s="1136" t="s">
        <v>31</v>
      </c>
      <c r="D244" s="125">
        <f>'Statewide Ref Dispostion'!D8</f>
        <v>1088</v>
      </c>
      <c r="E244" s="580">
        <f>'Statewide Ref Dispostion'!B8</f>
        <v>0.159828</v>
      </c>
      <c r="F244" s="1155">
        <f>'Statewide Ref Dispostion'!C8</f>
        <v>1.1528E-2</v>
      </c>
      <c r="L244" s="1708" t="s">
        <v>714</v>
      </c>
      <c r="M244" s="1357" t="s">
        <v>709</v>
      </c>
      <c r="N244" s="1365">
        <v>141</v>
      </c>
      <c r="O244" s="1357">
        <v>1</v>
      </c>
      <c r="P244" s="1357">
        <v>2</v>
      </c>
      <c r="Q244" s="1359">
        <v>0.58199999999999996</v>
      </c>
      <c r="Z244" s="1047"/>
    </row>
    <row r="245" spans="1:26">
      <c r="A245" s="786"/>
      <c r="C245" s="1147" t="s">
        <v>32</v>
      </c>
      <c r="D245" s="1148">
        <f>'Statewide Ref Dispostion'!D10</f>
        <v>1088</v>
      </c>
      <c r="E245" s="1149">
        <f>'Statewide Ref Dispostion'!B10</f>
        <v>0.84017200000000003</v>
      </c>
      <c r="F245" s="1156">
        <f>'Statewide Ref Dispostion'!C10</f>
        <v>1.1528E-2</v>
      </c>
      <c r="L245" s="1708"/>
      <c r="M245" s="1357" t="s">
        <v>710</v>
      </c>
      <c r="N245" s="1365">
        <v>988</v>
      </c>
      <c r="O245" s="1357">
        <v>5</v>
      </c>
      <c r="P245" s="1357">
        <v>5</v>
      </c>
      <c r="Q245" s="1359">
        <v>0.36799999999999999</v>
      </c>
      <c r="Z245" s="1047"/>
    </row>
    <row r="246" spans="1:26">
      <c r="A246" s="786"/>
      <c r="C246" s="1153"/>
      <c r="D246" s="1154"/>
      <c r="E246" s="1154"/>
      <c r="F246" s="1158"/>
      <c r="L246" s="1708"/>
      <c r="M246" s="1357" t="s">
        <v>711</v>
      </c>
      <c r="N246" s="1365">
        <v>938</v>
      </c>
      <c r="O246" s="1357">
        <v>4</v>
      </c>
      <c r="P246" s="1357">
        <v>4</v>
      </c>
      <c r="Q246" s="1359">
        <v>0.41099999999999998</v>
      </c>
      <c r="Z246" s="1047"/>
    </row>
    <row r="247" spans="1:26">
      <c r="A247" s="786"/>
      <c r="C247" s="1150" t="s">
        <v>132</v>
      </c>
      <c r="D247" s="1151">
        <f>'Statewide Ref Dispostion'!J8</f>
        <v>172</v>
      </c>
      <c r="E247" s="1152">
        <f>'Statewide Ref Dispostion'!F8</f>
        <v>0.85594199999999998</v>
      </c>
      <c r="F247" s="1157">
        <f>'Statewide Ref Dispostion'!H8</f>
        <v>2.7723000000000001E-2</v>
      </c>
      <c r="L247" s="1708"/>
      <c r="M247" s="1357" t="s">
        <v>712</v>
      </c>
      <c r="N247" s="1358">
        <v>1202</v>
      </c>
      <c r="O247" s="1357">
        <v>5</v>
      </c>
      <c r="P247" s="1357">
        <v>5</v>
      </c>
      <c r="Q247" s="1359">
        <v>0.36799999999999999</v>
      </c>
      <c r="Z247" s="1047"/>
    </row>
    <row r="248" spans="1:26">
      <c r="A248" s="786"/>
      <c r="C248" s="1136" t="s">
        <v>49</v>
      </c>
      <c r="D248" s="125">
        <f>'Statewide Ref Dispostion'!J9</f>
        <v>172</v>
      </c>
      <c r="E248" s="580">
        <f>'Statewide Ref Dispostion'!F9</f>
        <v>0.14405799999999999</v>
      </c>
      <c r="F248" s="1155">
        <f>'Statewide Ref Dispostion'!H9</f>
        <v>2.7723000000000001E-2</v>
      </c>
      <c r="L248" s="1716" t="s">
        <v>5</v>
      </c>
      <c r="M248" s="1716"/>
      <c r="N248" s="1140">
        <v>3269</v>
      </c>
      <c r="O248" s="1141">
        <v>15</v>
      </c>
      <c r="P248" s="1141">
        <v>16</v>
      </c>
      <c r="Q248" s="1142">
        <v>0.20599999999999999</v>
      </c>
      <c r="Z248" s="1047"/>
    </row>
    <row r="249" spans="1:26">
      <c r="A249" s="786"/>
      <c r="L249" s="1677" t="s">
        <v>715</v>
      </c>
      <c r="M249" s="1677"/>
      <c r="N249" s="1677"/>
      <c r="O249" s="1677"/>
      <c r="P249" s="1677"/>
      <c r="Q249" s="1677"/>
      <c r="Z249" s="1047"/>
    </row>
    <row r="250" spans="1:26" ht="37.799999999999997">
      <c r="A250" s="786"/>
      <c r="L250" s="1119" t="s">
        <v>716</v>
      </c>
      <c r="M250" s="1119" t="s">
        <v>717</v>
      </c>
      <c r="N250" s="1119" t="s">
        <v>704</v>
      </c>
      <c r="O250" s="1119" t="s">
        <v>705</v>
      </c>
      <c r="P250" s="1119" t="s">
        <v>706</v>
      </c>
      <c r="Q250" s="1119" t="s">
        <v>707</v>
      </c>
      <c r="Z250" s="1047"/>
    </row>
    <row r="251" spans="1:26">
      <c r="A251" s="786"/>
      <c r="C251" s="822" t="s">
        <v>840</v>
      </c>
      <c r="L251" s="1333" t="s">
        <v>718</v>
      </c>
      <c r="M251" s="1357" t="s">
        <v>709</v>
      </c>
      <c r="N251" s="1365">
        <v>79</v>
      </c>
      <c r="O251" s="1357">
        <v>1</v>
      </c>
      <c r="P251" s="1357">
        <v>1</v>
      </c>
      <c r="Q251" s="1359">
        <v>0.82299999999999995</v>
      </c>
      <c r="Z251" s="1047"/>
    </row>
    <row r="252" spans="1:26" ht="66">
      <c r="A252" s="786"/>
      <c r="C252" s="1135" t="s">
        <v>845</v>
      </c>
      <c r="D252" s="1135" t="s">
        <v>594</v>
      </c>
      <c r="E252" s="1135" t="s">
        <v>319</v>
      </c>
      <c r="F252" s="1135" t="s">
        <v>293</v>
      </c>
      <c r="L252" s="1363" t="s">
        <v>719</v>
      </c>
      <c r="M252" s="1357" t="s">
        <v>710</v>
      </c>
      <c r="N252" s="1365">
        <v>880</v>
      </c>
      <c r="O252" s="1357">
        <v>8</v>
      </c>
      <c r="P252" s="1357">
        <v>8</v>
      </c>
      <c r="Q252" s="1359">
        <v>0.191</v>
      </c>
      <c r="Z252" s="1047"/>
    </row>
    <row r="253" spans="1:26">
      <c r="A253" s="786"/>
      <c r="C253" s="1136" t="s">
        <v>58</v>
      </c>
      <c r="D253" s="125">
        <f>'Statewide Ref Dispostion'!J10</f>
        <v>848</v>
      </c>
      <c r="E253" s="580">
        <f>'Statewide Ref Dispostion'!F10</f>
        <v>0.21604999999999999</v>
      </c>
      <c r="F253" s="1155">
        <f>'Statewide Ref Dispostion'!H10</f>
        <v>2.5357000000000001E-2</v>
      </c>
      <c r="L253" s="1364"/>
      <c r="M253" s="1357" t="s">
        <v>711</v>
      </c>
      <c r="N253" s="1358">
        <v>1377</v>
      </c>
      <c r="O253" s="1357">
        <v>13</v>
      </c>
      <c r="P253" s="1357">
        <v>13</v>
      </c>
      <c r="Q253" s="1359">
        <v>0.249</v>
      </c>
      <c r="Z253" s="1047"/>
    </row>
    <row r="254" spans="1:26">
      <c r="A254" s="786"/>
      <c r="C254" s="1136" t="s">
        <v>254</v>
      </c>
      <c r="D254" s="125">
        <f>'Statewide Ref Dispostion'!J11</f>
        <v>848</v>
      </c>
      <c r="E254" s="580">
        <f>'Statewide Ref Dispostion'!F11</f>
        <v>0.40357085746560761</v>
      </c>
      <c r="F254" s="1155">
        <f>'Statewide Ref Dispostion'!H11</f>
        <v>0.20658174742622759</v>
      </c>
      <c r="L254" s="1364"/>
      <c r="M254" s="1357" t="s">
        <v>712</v>
      </c>
      <c r="N254" s="1358">
        <v>1195</v>
      </c>
      <c r="O254" s="1357">
        <v>11</v>
      </c>
      <c r="P254" s="1357">
        <v>11</v>
      </c>
      <c r="Q254" s="1359">
        <v>0.50600000000000001</v>
      </c>
      <c r="Z254" s="1047"/>
    </row>
    <row r="255" spans="1:26">
      <c r="A255" s="786"/>
      <c r="C255" s="1150" t="s">
        <v>255</v>
      </c>
      <c r="D255" s="1151">
        <f>'Statewide Ref Dispostion'!J20</f>
        <v>848</v>
      </c>
      <c r="E255" s="1152">
        <f>'Statewide Ref Dispostion'!F20</f>
        <v>0.38037914253439242</v>
      </c>
      <c r="F255" s="1157">
        <f>'Statewide Ref Dispostion'!H20</f>
        <v>0.20230457995970752</v>
      </c>
      <c r="L255" s="1716" t="s">
        <v>5</v>
      </c>
      <c r="M255" s="1716"/>
      <c r="N255" s="1140">
        <v>3531</v>
      </c>
      <c r="O255" s="1141">
        <v>33</v>
      </c>
      <c r="P255" s="1141">
        <v>33</v>
      </c>
      <c r="Q255" s="1142">
        <v>9.1999999999999998E-2</v>
      </c>
      <c r="Z255" s="1047"/>
    </row>
    <row r="256" spans="1:26">
      <c r="A256" s="786"/>
      <c r="Z256" s="1047"/>
    </row>
    <row r="257" spans="1:26">
      <c r="A257" s="786"/>
      <c r="Z257" s="1047"/>
    </row>
    <row r="258" spans="1:26">
      <c r="A258" s="786"/>
      <c r="C258" s="1096"/>
      <c r="D258"/>
      <c r="E258"/>
      <c r="Z258" s="1047"/>
    </row>
    <row r="259" spans="1:26">
      <c r="A259" s="786"/>
      <c r="C259" s="822"/>
      <c r="Z259" s="1047"/>
    </row>
    <row r="260" spans="1:26">
      <c r="A260" s="786"/>
      <c r="C260" s="822" t="s">
        <v>846</v>
      </c>
      <c r="D260"/>
      <c r="E260"/>
      <c r="F260"/>
      <c r="G260"/>
      <c r="Z260" s="1047"/>
    </row>
    <row r="261" spans="1:26" ht="47.25" customHeight="1">
      <c r="A261" s="786"/>
      <c r="C261" s="1677" t="s">
        <v>841</v>
      </c>
      <c r="D261" s="1678" t="s">
        <v>317</v>
      </c>
      <c r="E261" s="1678"/>
      <c r="Z261" s="1047"/>
    </row>
    <row r="262" spans="1:26" ht="39.75" customHeight="1">
      <c r="A262" s="786"/>
      <c r="C262" s="1677"/>
      <c r="D262" s="1144" t="s">
        <v>319</v>
      </c>
      <c r="E262" s="1144" t="s">
        <v>842</v>
      </c>
      <c r="Z262" s="1047"/>
    </row>
    <row r="263" spans="1:26">
      <c r="A263" s="786"/>
      <c r="C263" s="1136" t="str">
        <f>SecMktProportions!O5</f>
        <v>Individuals</v>
      </c>
      <c r="D263" s="1369">
        <f>SecMktProportions!S5</f>
        <v>0.57240100000000005</v>
      </c>
      <c r="E263" s="1370">
        <f>SecMktProportions!T5</f>
        <v>0.33073000000000002</v>
      </c>
      <c r="Z263" s="1047"/>
    </row>
    <row r="264" spans="1:26">
      <c r="A264" s="786"/>
      <c r="C264" s="1332" t="str">
        <f>SecMktProportions!O6</f>
        <v>Rental Property Owners</v>
      </c>
      <c r="D264" s="1369">
        <f>SecMktProportions!S6</f>
        <v>3.4584999999999998E-2</v>
      </c>
      <c r="E264" s="1370">
        <f>SecMktProportions!T6</f>
        <v>1.6114E-2</v>
      </c>
      <c r="Z264" s="1047"/>
    </row>
    <row r="265" spans="1:26">
      <c r="A265" s="786"/>
      <c r="C265" s="1332" t="str">
        <f>SecMktProportions!O7</f>
        <v>Commercial Users</v>
      </c>
      <c r="D265" s="1369">
        <f>SecMktProportions!S7</f>
        <v>1.7631000000000001E-2</v>
      </c>
      <c r="E265" s="1370">
        <f>SecMktProportions!T7</f>
        <v>8.9619999999999995E-3</v>
      </c>
      <c r="Z265" s="1047"/>
    </row>
    <row r="266" spans="1:26">
      <c r="A266" s="786"/>
      <c r="C266" s="1332" t="str">
        <f>SecMktProportions!O8</f>
        <v>Others*</v>
      </c>
      <c r="D266" s="1369">
        <f>SecMktProportions!S8</f>
        <v>2.0871000000000001E-2</v>
      </c>
      <c r="E266" s="1370">
        <f>SecMktProportions!T8</f>
        <v>6.0520000000000001E-3</v>
      </c>
      <c r="Z266" s="1047"/>
    </row>
    <row r="267" spans="1:26">
      <c r="A267" s="786"/>
      <c r="C267" s="1332" t="str">
        <f>SecMktProportions!O9</f>
        <v>Recycled/Destroyed</v>
      </c>
      <c r="D267" s="1369">
        <f>SecMktProportions!S9</f>
        <v>0.35451300000000002</v>
      </c>
      <c r="E267" s="1370">
        <f>SecMktProportions!T9</f>
        <v>0.10274</v>
      </c>
      <c r="Z267" s="1047"/>
    </row>
    <row r="268" spans="1:26">
      <c r="A268" s="786"/>
      <c r="C268" s="1332" t="str">
        <f>SecMktProportions!O10</f>
        <v>Total</v>
      </c>
      <c r="D268" s="1159">
        <v>1</v>
      </c>
      <c r="E268" s="1160">
        <v>0.59599999999999997</v>
      </c>
      <c r="Z268" s="1047"/>
    </row>
    <row r="269" spans="1:26">
      <c r="A269" s="786"/>
      <c r="C269" s="1136" t="s">
        <v>843</v>
      </c>
      <c r="D269" s="1679">
        <v>3.7999999999999999E-2</v>
      </c>
      <c r="E269" s="1679"/>
      <c r="Z269" s="1047"/>
    </row>
    <row r="270" spans="1:26">
      <c r="A270" s="786"/>
      <c r="Z270" s="1047"/>
    </row>
    <row r="271" spans="1:26">
      <c r="A271" s="786"/>
      <c r="Z271" s="1047"/>
    </row>
    <row r="272" spans="1:26">
      <c r="A272" s="786"/>
      <c r="C272" s="822" t="s">
        <v>866</v>
      </c>
      <c r="Z272" s="1047"/>
    </row>
    <row r="273" spans="1:26" ht="25.2">
      <c r="A273" s="786"/>
      <c r="C273" s="1119" t="s">
        <v>867</v>
      </c>
      <c r="D273" s="1119" t="s">
        <v>859</v>
      </c>
      <c r="E273" s="1135" t="s">
        <v>944</v>
      </c>
      <c r="F273" s="1135" t="s">
        <v>293</v>
      </c>
      <c r="G273" s="1135" t="s">
        <v>594</v>
      </c>
      <c r="H273" s="1135" t="s">
        <v>860</v>
      </c>
      <c r="I273" s="1135" t="s">
        <v>261</v>
      </c>
      <c r="J273" s="1135" t="s">
        <v>293</v>
      </c>
      <c r="K273" s="1135" t="s">
        <v>594</v>
      </c>
      <c r="L273" s="1135" t="s">
        <v>864</v>
      </c>
      <c r="M273" s="1135" t="s">
        <v>261</v>
      </c>
      <c r="N273" s="1135" t="s">
        <v>293</v>
      </c>
      <c r="O273" s="1135" t="s">
        <v>594</v>
      </c>
      <c r="P273" s="1119" t="s">
        <v>863</v>
      </c>
      <c r="Q273" s="1135" t="s">
        <v>293</v>
      </c>
      <c r="R273" s="1135" t="s">
        <v>594</v>
      </c>
      <c r="Z273" s="1047"/>
    </row>
    <row r="274" spans="1:26">
      <c r="A274" s="786"/>
      <c r="C274" s="1634" t="s">
        <v>254</v>
      </c>
      <c r="D274" s="1650" t="s">
        <v>59</v>
      </c>
      <c r="E274" s="1641">
        <f>'Statewide Ref Dispostion'!R11</f>
        <v>0.76906300000000005</v>
      </c>
      <c r="F274" s="1644">
        <f>'Statewide Ref Dispostion'!T11</f>
        <v>0.24099999999999999</v>
      </c>
      <c r="G274" s="1647">
        <f>'Statewide Ref Dispostion'!V11</f>
        <v>323</v>
      </c>
      <c r="H274" s="1197" t="s">
        <v>72</v>
      </c>
      <c r="I274" s="1198">
        <f>'Statewide Ref Dispostion'!Y11</f>
        <v>4.4646999999999999E-2</v>
      </c>
      <c r="J274" s="1199">
        <f>'Statewide Ref Dispostion'!Z11</f>
        <v>1.4902E-2</v>
      </c>
      <c r="K274" s="1200">
        <f>'Statewide Ref Dispostion'!AA11</f>
        <v>236</v>
      </c>
      <c r="L274" s="1201"/>
      <c r="M274" s="1201"/>
      <c r="N274" s="1202"/>
      <c r="O274" s="1201"/>
      <c r="P274" s="1196">
        <f>'Statewide Ref Dispostion'!AN11</f>
        <v>1.1642391561073492E-2</v>
      </c>
      <c r="Q274" s="1195">
        <f>'Statewide Ref Dispostion'!AP11</f>
        <v>0.71163415254117457</v>
      </c>
      <c r="R274" s="1230">
        <f>'Statewide Ref Dispostion'!AT11</f>
        <v>236</v>
      </c>
      <c r="Z274" s="1047"/>
    </row>
    <row r="275" spans="1:26">
      <c r="A275" s="786"/>
      <c r="C275" s="1635"/>
      <c r="D275" s="1650"/>
      <c r="E275" s="1641"/>
      <c r="F275" s="1644"/>
      <c r="G275" s="1647"/>
      <c r="H275" s="1203" t="s">
        <v>73</v>
      </c>
      <c r="I275" s="1204">
        <f>'Statewide Ref Dispostion'!Y12</f>
        <v>0.37978600000000001</v>
      </c>
      <c r="J275" s="1205">
        <f>'Statewide Ref Dispostion'!Z12</f>
        <v>3.2230000000000002E-2</v>
      </c>
      <c r="K275" s="1206">
        <f>'Statewide Ref Dispostion'!AA12</f>
        <v>236</v>
      </c>
      <c r="L275" s="1207"/>
      <c r="M275" s="1207"/>
      <c r="N275" s="1208"/>
      <c r="O275" s="1207"/>
      <c r="P275" s="1196">
        <f>'Statewide Ref Dispostion'!AN12</f>
        <v>9.9035037548185934E-2</v>
      </c>
      <c r="Q275" s="1195">
        <f>'Statewide Ref Dispostion'!AP12</f>
        <v>5.1404435522609502</v>
      </c>
      <c r="R275" s="1230">
        <f>'Statewide Ref Dispostion'!AT12</f>
        <v>236</v>
      </c>
      <c r="Z275" s="1047"/>
    </row>
    <row r="276" spans="1:26">
      <c r="A276" s="786"/>
      <c r="C276" s="1635"/>
      <c r="D276" s="1650"/>
      <c r="E276" s="1641"/>
      <c r="F276" s="1644"/>
      <c r="G276" s="1647"/>
      <c r="H276" s="1197" t="s">
        <v>74</v>
      </c>
      <c r="I276" s="1198">
        <f>'Statewide Ref Dispostion'!Y13</f>
        <v>0.32297799999999999</v>
      </c>
      <c r="J276" s="1199">
        <f>'Statewide Ref Dispostion'!Z13</f>
        <v>3.1143000000000001E-2</v>
      </c>
      <c r="K276" s="1200">
        <f>'Statewide Ref Dispostion'!AA13</f>
        <v>236</v>
      </c>
      <c r="L276" s="1201"/>
      <c r="M276" s="1201"/>
      <c r="N276" s="1202"/>
      <c r="O276" s="1201"/>
      <c r="P276" s="1196">
        <f>'Statewide Ref Dispostion'!AN13</f>
        <v>8.4221478298931493E-2</v>
      </c>
      <c r="Q276" s="1195">
        <f>'Statewide Ref Dispostion'!AP13</f>
        <v>4.388512052775968</v>
      </c>
      <c r="R276" s="1230">
        <f>'Statewide Ref Dispostion'!AT13</f>
        <v>236</v>
      </c>
      <c r="Z276" s="1047"/>
    </row>
    <row r="277" spans="1:26">
      <c r="A277" s="786"/>
      <c r="C277" s="1635"/>
      <c r="D277" s="1650"/>
      <c r="E277" s="1641"/>
      <c r="F277" s="1644"/>
      <c r="G277" s="1647"/>
      <c r="H277" s="1664" t="s">
        <v>495</v>
      </c>
      <c r="I277" s="1666">
        <f>'Statewide Ref Dispostion'!Y14</f>
        <v>0.25258799999999998</v>
      </c>
      <c r="J277" s="1667">
        <f>'Statewide Ref Dispostion'!Z14</f>
        <v>2.8632999999999999E-2</v>
      </c>
      <c r="K277" s="1638">
        <f>'Statewide Ref Dispostion'!AA14</f>
        <v>236</v>
      </c>
      <c r="L277" s="1209" t="s">
        <v>509</v>
      </c>
      <c r="M277" s="1210">
        <f>'Statewide Ref Dispostion'!AD14</f>
        <v>0.78708699999999998</v>
      </c>
      <c r="N277" s="1211">
        <f>'Statewide Ref Dispostion'!AE14</f>
        <v>5.5259000000000003E-2</v>
      </c>
      <c r="O277" s="1212">
        <f>'Statewide Ref Dispostion'!AF14</f>
        <v>61</v>
      </c>
      <c r="P277" s="1196">
        <f>'Statewide Ref Dispostion'!AN14</f>
        <v>5.1842432725117987E-2</v>
      </c>
      <c r="Q277" s="1195">
        <f>'Statewide Ref Dispostion'!AP14</f>
        <v>2.7432112796196733</v>
      </c>
      <c r="R277" s="1230">
        <f>'Statewide Ref Dispostion'!AT14</f>
        <v>61</v>
      </c>
      <c r="Z277" s="1047"/>
    </row>
    <row r="278" spans="1:26">
      <c r="A278" s="786"/>
      <c r="C278" s="1635"/>
      <c r="D278" s="1651"/>
      <c r="E278" s="1642"/>
      <c r="F278" s="1645"/>
      <c r="G278" s="1648"/>
      <c r="H278" s="1665"/>
      <c r="I278" s="1661"/>
      <c r="J278" s="1663"/>
      <c r="K278" s="1639"/>
      <c r="L278" s="1213" t="s">
        <v>508</v>
      </c>
      <c r="M278" s="1214">
        <f>'Statewide Ref Dispostion'!AD15</f>
        <v>0.21291299999999999</v>
      </c>
      <c r="N278" s="1215">
        <f>'Statewide Ref Dispostion'!AE15</f>
        <v>5.5259000000000003E-2</v>
      </c>
      <c r="O278" s="1216">
        <f>'Statewide Ref Dispostion'!AF15</f>
        <v>61</v>
      </c>
      <c r="P278" s="1196">
        <f>'Statewide Ref Dispostion'!AN15</f>
        <v>1.4023771042849197E-2</v>
      </c>
      <c r="Q278" s="1195">
        <f>'Statewide Ref Dispostion'!AP15</f>
        <v>0.82062945896532768</v>
      </c>
      <c r="R278" s="1230">
        <f>'Statewide Ref Dispostion'!AT15</f>
        <v>61</v>
      </c>
      <c r="Z278" s="1047"/>
    </row>
    <row r="279" spans="1:26">
      <c r="A279" s="786"/>
      <c r="C279" s="1635"/>
      <c r="D279" s="1649" t="s">
        <v>60</v>
      </c>
      <c r="E279" s="1640">
        <f>'Statewide Ref Dispostion'!R16</f>
        <v>0.21462500000000001</v>
      </c>
      <c r="F279" s="1643">
        <f>'Statewide Ref Dispostion'!T16</f>
        <v>0.7</v>
      </c>
      <c r="G279" s="1646">
        <f>'Statewide Ref Dispostion'!V16</f>
        <v>323</v>
      </c>
      <c r="H279" s="1203" t="s">
        <v>72</v>
      </c>
      <c r="I279" s="1204">
        <f>'Statewide Ref Dispostion'!Y16</f>
        <v>6.0277999999999998E-2</v>
      </c>
      <c r="J279" s="1205">
        <f>'Statewide Ref Dispostion'!Z16</f>
        <v>2.9786E-2</v>
      </c>
      <c r="K279" s="1206">
        <f>'Statewide Ref Dispostion'!AA16</f>
        <v>67</v>
      </c>
      <c r="L279" s="1207"/>
      <c r="M279" s="1207"/>
      <c r="N279" s="1208"/>
      <c r="O279" s="1207"/>
      <c r="P279" s="1196">
        <f>'Statewide Ref Dispostion'!AN16</f>
        <v>4.3865910057667235E-3</v>
      </c>
      <c r="Q279" s="1195">
        <f>'Statewide Ref Dispostion'!AP16</f>
        <v>0.31215528612774668</v>
      </c>
      <c r="R279" s="1230">
        <f>'Statewide Ref Dispostion'!AT16</f>
        <v>67</v>
      </c>
      <c r="Z279" s="1047"/>
    </row>
    <row r="280" spans="1:26">
      <c r="A280" s="786"/>
      <c r="C280" s="1635"/>
      <c r="D280" s="1650"/>
      <c r="E280" s="1641"/>
      <c r="F280" s="1644"/>
      <c r="G280" s="1647"/>
      <c r="H280" s="1197" t="s">
        <v>73</v>
      </c>
      <c r="I280" s="1198">
        <f>'Statewide Ref Dispostion'!Y17</f>
        <v>0.275001</v>
      </c>
      <c r="J280" s="1199">
        <f>'Statewide Ref Dispostion'!Z17</f>
        <v>5.7956000000000001E-2</v>
      </c>
      <c r="K280" s="1200">
        <f>'Statewide Ref Dispostion'!AA17</f>
        <v>67</v>
      </c>
      <c r="L280" s="1201"/>
      <c r="M280" s="1201"/>
      <c r="N280" s="1202"/>
      <c r="O280" s="1201"/>
      <c r="P280" s="1196">
        <f>'Statewide Ref Dispostion'!AN17</f>
        <v>2.0012557038668416E-2</v>
      </c>
      <c r="Q280" s="1195">
        <f>'Statewide Ref Dispostion'!AP17</f>
        <v>1.1081772867721706</v>
      </c>
      <c r="R280" s="1230">
        <f>'Statewide Ref Dispostion'!AT17</f>
        <v>67</v>
      </c>
      <c r="Z280" s="1047"/>
    </row>
    <row r="281" spans="1:26">
      <c r="A281" s="786"/>
      <c r="C281" s="1635"/>
      <c r="D281" s="1650"/>
      <c r="E281" s="1641"/>
      <c r="F281" s="1644"/>
      <c r="G281" s="1647"/>
      <c r="H281" s="1203" t="s">
        <v>74</v>
      </c>
      <c r="I281" s="1204">
        <f>'Statewide Ref Dispostion'!Y18</f>
        <v>0.16534499999999999</v>
      </c>
      <c r="J281" s="1205">
        <f>'Statewide Ref Dispostion'!Z18</f>
        <v>4.5196E-2</v>
      </c>
      <c r="K281" s="1206">
        <f>'Statewide Ref Dispostion'!AA18</f>
        <v>67</v>
      </c>
      <c r="L281" s="1207"/>
      <c r="M281" s="1207"/>
      <c r="N281" s="1208"/>
      <c r="O281" s="1207"/>
      <c r="P281" s="1196">
        <f>'Statewide Ref Dispostion'!AN18</f>
        <v>1.2032597130769086E-2</v>
      </c>
      <c r="Q281" s="1195">
        <f>'Statewide Ref Dispostion'!AP18</f>
        <v>0.69844116090033626</v>
      </c>
      <c r="R281" s="1230">
        <f>'Statewide Ref Dispostion'!AT18</f>
        <v>67</v>
      </c>
      <c r="Z281" s="1047"/>
    </row>
    <row r="282" spans="1:26">
      <c r="A282" s="786"/>
      <c r="C282" s="1636"/>
      <c r="D282" s="1651"/>
      <c r="E282" s="1642"/>
      <c r="F282" s="1645"/>
      <c r="G282" s="1648"/>
      <c r="H282" s="1217" t="s">
        <v>865</v>
      </c>
      <c r="I282" s="1218">
        <f>'Statewide Ref Dispostion'!Y19</f>
        <v>0.49937599999999999</v>
      </c>
      <c r="J282" s="1219">
        <f>'Statewide Ref Dispostion'!Z19</f>
        <v>6.3030000000000003E-2</v>
      </c>
      <c r="K282" s="1220">
        <f>'Statewide Ref Dispostion'!AA19</f>
        <v>67</v>
      </c>
      <c r="L282" s="1221"/>
      <c r="M282" s="1221"/>
      <c r="N282" s="1222"/>
      <c r="O282" s="1221"/>
      <c r="P282" s="1196">
        <f>'Statewide Ref Dispostion'!AN19</f>
        <v>3.6340924882971623E-2</v>
      </c>
      <c r="Q282" s="1195">
        <f>'Statewide Ref Dispostion'!AP19</f>
        <v>1.91660078991883</v>
      </c>
      <c r="R282" s="1230">
        <f>'Statewide Ref Dispostion'!AT19</f>
        <v>67</v>
      </c>
      <c r="Z282" s="1047"/>
    </row>
    <row r="283" spans="1:26">
      <c r="A283" s="786"/>
      <c r="C283" s="1634" t="s">
        <v>255</v>
      </c>
      <c r="D283" s="1649" t="s">
        <v>59</v>
      </c>
      <c r="E283" s="1666">
        <f>'Statewide Ref Dispostion'!R20</f>
        <v>0.91356300000000001</v>
      </c>
      <c r="F283" s="1652">
        <f>'Statewide Ref Dispostion'!T20</f>
        <v>2.5649999999999999E-2</v>
      </c>
      <c r="G283" s="1655">
        <f>'Statewide Ref Dispostion'!V20</f>
        <v>125</v>
      </c>
      <c r="H283" s="1203" t="s">
        <v>77</v>
      </c>
      <c r="I283" s="1204">
        <f>'Statewide Ref Dispostion'!Y20</f>
        <v>0.44458300000000001</v>
      </c>
      <c r="J283" s="1205">
        <f>'Statewide Ref Dispostion'!Z20</f>
        <v>4.9771000000000003E-2</v>
      </c>
      <c r="K283" s="1206">
        <f>'Statewide Ref Dispostion'!AA20</f>
        <v>105</v>
      </c>
      <c r="L283" s="1207"/>
      <c r="M283" s="1207"/>
      <c r="N283" s="1208"/>
      <c r="O283" s="1207"/>
      <c r="P283" s="1196">
        <f>'Statewide Ref Dispostion'!AN20</f>
        <v>7.4297916790629318E-2</v>
      </c>
      <c r="Q283" s="1195">
        <f>'Statewide Ref Dispostion'!AP20</f>
        <v>5.8945527307264713</v>
      </c>
      <c r="R283" s="1230">
        <f>'Statewide Ref Dispostion'!AT20</f>
        <v>105</v>
      </c>
      <c r="Z283" s="1047"/>
    </row>
    <row r="284" spans="1:26">
      <c r="A284" s="786"/>
      <c r="C284" s="1635"/>
      <c r="D284" s="1650"/>
      <c r="E284" s="1660"/>
      <c r="F284" s="1653"/>
      <c r="G284" s="1656"/>
      <c r="H284" s="1223" t="s">
        <v>74</v>
      </c>
      <c r="I284" s="1218">
        <f>'Statewide Ref Dispostion'!Y21</f>
        <v>0.34078700000000001</v>
      </c>
      <c r="J284" s="1219">
        <f>'Statewide Ref Dispostion'!Z21</f>
        <v>4.7517999999999998E-2</v>
      </c>
      <c r="K284" s="1220">
        <f>'Statewide Ref Dispostion'!AA21</f>
        <v>105</v>
      </c>
      <c r="L284" s="1221"/>
      <c r="M284" s="1221"/>
      <c r="N284" s="1222"/>
      <c r="O284" s="1221"/>
      <c r="P284" s="1196">
        <f>'Statewide Ref Dispostion'!AN21</f>
        <v>5.6951714683935721E-2</v>
      </c>
      <c r="Q284" s="1195">
        <f>'Statewide Ref Dispostion'!AP21</f>
        <v>4.5430947206500267</v>
      </c>
      <c r="R284" s="1230">
        <f>'Statewide Ref Dispostion'!AT21</f>
        <v>105</v>
      </c>
      <c r="Z284" s="1047"/>
    </row>
    <row r="285" spans="1:26">
      <c r="A285" s="786"/>
      <c r="C285" s="1635"/>
      <c r="D285" s="1650"/>
      <c r="E285" s="1660"/>
      <c r="F285" s="1653"/>
      <c r="G285" s="1656"/>
      <c r="H285" s="1658" t="s">
        <v>862</v>
      </c>
      <c r="I285" s="1660">
        <f>'Statewide Ref Dispostion'!Y22</f>
        <v>0.21462999999999999</v>
      </c>
      <c r="J285" s="1662">
        <f>'Statewide Ref Dispostion'!Z22</f>
        <v>4.1541000000000002E-2</v>
      </c>
      <c r="K285" s="1632">
        <f>'Statewide Ref Dispostion'!AA22</f>
        <v>105</v>
      </c>
      <c r="L285" s="1209" t="s">
        <v>509</v>
      </c>
      <c r="M285" s="1210">
        <f>'Statewide Ref Dispostion'!AD22</f>
        <v>0.91933399999999998</v>
      </c>
      <c r="N285" s="1211">
        <f>'Statewide Ref Dispostion'!AE22</f>
        <v>5.6693E-2</v>
      </c>
      <c r="O285" s="1212">
        <f>'Statewide Ref Dispostion'!AF22</f>
        <v>22</v>
      </c>
      <c r="P285" s="1196">
        <f>'Statewide Ref Dispostion'!AN22</f>
        <v>3.297520714939247E-2</v>
      </c>
      <c r="Q285" s="1195">
        <f>'Statewide Ref Dispostion'!AP22</f>
        <v>2.6751857303164588</v>
      </c>
      <c r="R285" s="1230">
        <f>'Statewide Ref Dispostion'!AT22</f>
        <v>22</v>
      </c>
      <c r="Z285" s="1047"/>
    </row>
    <row r="286" spans="1:26">
      <c r="A286" s="786"/>
      <c r="C286" s="1635"/>
      <c r="D286" s="1651"/>
      <c r="E286" s="1661"/>
      <c r="F286" s="1654"/>
      <c r="G286" s="1657"/>
      <c r="H286" s="1659"/>
      <c r="I286" s="1661"/>
      <c r="J286" s="1663"/>
      <c r="K286" s="1633"/>
      <c r="L286" s="1209" t="s">
        <v>508</v>
      </c>
      <c r="M286" s="1210">
        <f>'Statewide Ref Dispostion'!AD23</f>
        <v>8.0666000000000002E-2</v>
      </c>
      <c r="N286" s="1211">
        <f>'Statewide Ref Dispostion'!AE23</f>
        <v>5.6693E-2</v>
      </c>
      <c r="O286" s="1212">
        <f>'Statewide Ref Dispostion'!AF23</f>
        <v>22</v>
      </c>
      <c r="P286" s="1196">
        <f>'Statewide Ref Dispostion'!AN23</f>
        <v>2.8933750518450236E-3</v>
      </c>
      <c r="Q286" s="1195">
        <f>'Statewide Ref Dispostion'!AP23</f>
        <v>0.31005092682723129</v>
      </c>
      <c r="R286" s="1230">
        <f>'Statewide Ref Dispostion'!AT23</f>
        <v>22</v>
      </c>
      <c r="Z286" s="1047"/>
    </row>
    <row r="287" spans="1:26">
      <c r="A287" s="786"/>
      <c r="C287" s="1635"/>
      <c r="D287" s="1671" t="s">
        <v>60</v>
      </c>
      <c r="E287" s="1668">
        <f>'Statewide Ref Dispostion'!R24</f>
        <v>8.6437E-2</v>
      </c>
      <c r="F287" s="1674">
        <f>'Statewide Ref Dispostion'!T24</f>
        <v>2.5649999999999999E-2</v>
      </c>
      <c r="G287" s="1629">
        <f>'Statewide Ref Dispostion'!V24</f>
        <v>125</v>
      </c>
      <c r="H287" s="1224" t="s">
        <v>77</v>
      </c>
      <c r="I287" s="1204">
        <f>'Statewide Ref Dispostion'!Y24</f>
        <v>0.58930199999999999</v>
      </c>
      <c r="J287" s="1205">
        <f>'Statewide Ref Dispostion'!Z24</f>
        <v>0.157001</v>
      </c>
      <c r="K287" s="1206">
        <f>'Statewide Ref Dispostion'!AA24</f>
        <v>11</v>
      </c>
      <c r="L287" s="1225"/>
      <c r="M287" s="1225"/>
      <c r="N287" s="1226"/>
      <c r="O287" s="1225"/>
      <c r="P287" s="1196">
        <f>'Statewide Ref Dispostion'!AN24</f>
        <v>9.318003797670742E-3</v>
      </c>
      <c r="Q287" s="1195">
        <f>'Statewide Ref Dispostion'!AP24</f>
        <v>0.77282016983257151</v>
      </c>
      <c r="R287" s="1230">
        <f>'Statewide Ref Dispostion'!AT24</f>
        <v>11</v>
      </c>
      <c r="Z287" s="1047"/>
    </row>
    <row r="288" spans="1:26">
      <c r="A288" s="786"/>
      <c r="C288" s="1635"/>
      <c r="D288" s="1672"/>
      <c r="E288" s="1669"/>
      <c r="F288" s="1675"/>
      <c r="G288" s="1630"/>
      <c r="H288" s="1224" t="s">
        <v>74</v>
      </c>
      <c r="I288" s="1204">
        <f>'Statewide Ref Dispostion'!Y25</f>
        <v>0.33581100000000003</v>
      </c>
      <c r="J288" s="1205">
        <f>'Statewide Ref Dispostion'!Z25</f>
        <v>0.15021999999999999</v>
      </c>
      <c r="K288" s="1206">
        <f>'Statewide Ref Dispostion'!AA25</f>
        <v>11</v>
      </c>
      <c r="L288" s="1225"/>
      <c r="M288" s="1225"/>
      <c r="N288" s="1226"/>
      <c r="O288" s="1225"/>
      <c r="P288" s="1196">
        <f>'Statewide Ref Dispostion'!AN25</f>
        <v>5.3098210650899032E-3</v>
      </c>
      <c r="Q288" s="1195">
        <f>'Statewide Ref Dispostion'!AP25</f>
        <v>0.47994651336711391</v>
      </c>
      <c r="R288" s="1230">
        <f>'Statewide Ref Dispostion'!AT25</f>
        <v>11</v>
      </c>
      <c r="Z288" s="1047"/>
    </row>
    <row r="289" spans="1:26">
      <c r="A289" s="786"/>
      <c r="C289" s="1636"/>
      <c r="D289" s="1673"/>
      <c r="E289" s="1670"/>
      <c r="F289" s="1676"/>
      <c r="G289" s="1631"/>
      <c r="H289" s="1227" t="s">
        <v>865</v>
      </c>
      <c r="I289" s="1218">
        <f>'Statewide Ref Dispostion'!Y26</f>
        <v>7.4886999999999995E-2</v>
      </c>
      <c r="J289" s="1219">
        <f>'Statewide Ref Dispostion'!Z26</f>
        <v>7.6380000000000003E-2</v>
      </c>
      <c r="K289" s="1220">
        <f>'Statewide Ref Dispostion'!AA26</f>
        <v>11</v>
      </c>
      <c r="L289" s="1228"/>
      <c r="M289" s="1228"/>
      <c r="N289" s="1229"/>
      <c r="O289" s="1228"/>
      <c r="P289" s="1196">
        <f>'Statewide Ref Dispostion'!AN26</f>
        <v>1.1841082338023101E-3</v>
      </c>
      <c r="Q289" s="1195">
        <f>'Statewide Ref Dispostion'!AP26</f>
        <v>0.15243155333857014</v>
      </c>
      <c r="R289" s="1230">
        <f>'Statewide Ref Dispostion'!AT26</f>
        <v>11</v>
      </c>
      <c r="Z289" s="1047"/>
    </row>
    <row r="290" spans="1:26">
      <c r="A290" s="786"/>
      <c r="Z290" s="1047"/>
    </row>
    <row r="291" spans="1:26">
      <c r="A291" s="786"/>
      <c r="Z291" s="1047"/>
    </row>
    <row r="292" spans="1:26">
      <c r="A292" s="786"/>
      <c r="Z292" s="1047"/>
    </row>
    <row r="293" spans="1:26">
      <c r="A293" s="786"/>
      <c r="C293" s="822" t="s">
        <v>868</v>
      </c>
      <c r="Z293" s="1047"/>
    </row>
    <row r="294" spans="1:26">
      <c r="A294" s="786"/>
      <c r="C294" s="916" t="s">
        <v>869</v>
      </c>
      <c r="Z294" s="1047"/>
    </row>
    <row r="295" spans="1:26">
      <c r="A295" s="786"/>
      <c r="Z295" s="1047"/>
    </row>
    <row r="296" spans="1:26">
      <c r="A296" s="786"/>
      <c r="C296" s="822" t="s">
        <v>870</v>
      </c>
      <c r="F296" s="916" t="s">
        <v>871</v>
      </c>
      <c r="Z296" s="1047"/>
    </row>
    <row r="297" spans="1:26">
      <c r="A297" s="786"/>
      <c r="C297" s="822" t="s">
        <v>550</v>
      </c>
      <c r="H297" s="916" t="s">
        <v>883</v>
      </c>
      <c r="Z297" s="1047"/>
    </row>
    <row r="298" spans="1:26" ht="25.2">
      <c r="A298" s="786"/>
      <c r="C298" s="1560" t="s">
        <v>519</v>
      </c>
      <c r="D298" s="1560"/>
      <c r="E298" s="1560"/>
      <c r="F298" s="1560"/>
      <c r="G298" s="1560"/>
      <c r="H298" s="1637"/>
      <c r="I298" s="1119" t="s">
        <v>863</v>
      </c>
      <c r="J298" s="1135" t="s">
        <v>293</v>
      </c>
      <c r="K298" s="1135" t="s">
        <v>594</v>
      </c>
      <c r="Z298" s="1047"/>
    </row>
    <row r="299" spans="1:26">
      <c r="A299" s="786"/>
      <c r="C299" s="1575" t="s">
        <v>267</v>
      </c>
      <c r="D299" s="1575"/>
      <c r="E299" s="1575"/>
      <c r="F299" s="1575"/>
      <c r="G299" s="1575"/>
      <c r="H299" s="1575"/>
      <c r="I299" s="1196">
        <f>'Statewide Ref Dispostion'!AN8</f>
        <v>0.136803497976</v>
      </c>
      <c r="J299" s="1195">
        <f>'Statewide Ref Dispostion'!AP8</f>
        <v>2.7723</v>
      </c>
      <c r="K299" s="1230">
        <f>'Statewide Ref Dispostion'!AT8</f>
        <v>172</v>
      </c>
      <c r="Z299" s="1047"/>
    </row>
    <row r="300" spans="1:26">
      <c r="A300" s="786"/>
      <c r="C300" s="1575" t="s">
        <v>268</v>
      </c>
      <c r="D300" s="1575"/>
      <c r="E300" s="1575"/>
      <c r="F300" s="1575"/>
      <c r="G300" s="1575"/>
      <c r="H300" s="1575"/>
      <c r="I300" s="1196">
        <f>'Statewide Ref Dispostion'!AN9</f>
        <v>2.3024502023999999E-2</v>
      </c>
      <c r="J300" s="1195">
        <f>'Statewide Ref Dispostion'!AP9</f>
        <v>2.7723</v>
      </c>
      <c r="K300" s="1230">
        <f>'Statewide Ref Dispostion'!AT9</f>
        <v>172</v>
      </c>
      <c r="Z300" s="1047"/>
    </row>
    <row r="301" spans="1:26">
      <c r="A301" s="786"/>
      <c r="C301" s="1583" t="s">
        <v>340</v>
      </c>
      <c r="D301" s="1602" t="s">
        <v>133</v>
      </c>
      <c r="E301" s="1603"/>
      <c r="F301" s="1603"/>
      <c r="G301" s="1603"/>
      <c r="H301" s="1604"/>
      <c r="I301" s="1196">
        <f>'Statewide Ref Dispostion'!AN10</f>
        <v>0.18151916060000001</v>
      </c>
      <c r="J301" s="1195">
        <f>'Statewide Ref Dispostion'!AP10</f>
        <v>2.144933359575032</v>
      </c>
      <c r="K301" s="1230">
        <f>'Statewide Ref Dispostion'!AT10</f>
        <v>848</v>
      </c>
      <c r="Z301" s="1047"/>
    </row>
    <row r="302" spans="1:26">
      <c r="A302" s="786"/>
      <c r="C302" s="1583"/>
      <c r="D302" s="1592" t="s">
        <v>341</v>
      </c>
      <c r="E302" s="1592" t="s">
        <v>342</v>
      </c>
      <c r="F302" s="1575" t="s">
        <v>344</v>
      </c>
      <c r="G302" s="1575"/>
      <c r="H302" s="1575"/>
      <c r="I302" s="1196">
        <f>'Statewide Ref Dispostion'!AN11</f>
        <v>1.1642391561073492E-2</v>
      </c>
      <c r="J302" s="1195">
        <f>'Statewide Ref Dispostion'!AP11</f>
        <v>0.71163415254117457</v>
      </c>
      <c r="K302" s="1230">
        <f>'Statewide Ref Dispostion'!AT11</f>
        <v>236</v>
      </c>
      <c r="Z302" s="1047"/>
    </row>
    <row r="303" spans="1:26">
      <c r="A303" s="786"/>
      <c r="C303" s="1583"/>
      <c r="D303" s="1593"/>
      <c r="E303" s="1593"/>
      <c r="F303" s="1575" t="s">
        <v>345</v>
      </c>
      <c r="G303" s="1575"/>
      <c r="H303" s="1575"/>
      <c r="I303" s="1196">
        <f>'Statewide Ref Dispostion'!AN12</f>
        <v>9.9035037548185934E-2</v>
      </c>
      <c r="J303" s="1195">
        <f>'Statewide Ref Dispostion'!AP12</f>
        <v>5.1404435522609502</v>
      </c>
      <c r="K303" s="1230">
        <f>'Statewide Ref Dispostion'!AT12</f>
        <v>236</v>
      </c>
      <c r="Z303" s="1047"/>
    </row>
    <row r="304" spans="1:26">
      <c r="A304" s="786"/>
      <c r="C304" s="1583"/>
      <c r="D304" s="1593"/>
      <c r="E304" s="1593"/>
      <c r="F304" s="1575" t="s">
        <v>346</v>
      </c>
      <c r="G304" s="1575"/>
      <c r="H304" s="1575"/>
      <c r="I304" s="1196">
        <f>'Statewide Ref Dispostion'!AN13</f>
        <v>8.4221478298931493E-2</v>
      </c>
      <c r="J304" s="1195">
        <f>'Statewide Ref Dispostion'!AP13</f>
        <v>4.388512052775968</v>
      </c>
      <c r="K304" s="1230">
        <f>'Statewide Ref Dispostion'!AT13</f>
        <v>236</v>
      </c>
      <c r="Z304" s="1047"/>
    </row>
    <row r="305" spans="1:26">
      <c r="A305" s="786"/>
      <c r="C305" s="1583"/>
      <c r="D305" s="1593"/>
      <c r="E305" s="1593"/>
      <c r="F305" s="1605" t="s">
        <v>494</v>
      </c>
      <c r="G305" s="1605"/>
      <c r="H305" s="774" t="s">
        <v>509</v>
      </c>
      <c r="I305" s="1196">
        <f>'Statewide Ref Dispostion'!AN14</f>
        <v>5.1842432725117987E-2</v>
      </c>
      <c r="J305" s="1195">
        <f>'Statewide Ref Dispostion'!AP14</f>
        <v>2.7432112796196733</v>
      </c>
      <c r="K305" s="1230">
        <f>'Statewide Ref Dispostion'!AT14</f>
        <v>61</v>
      </c>
      <c r="Z305" s="1047"/>
    </row>
    <row r="306" spans="1:26">
      <c r="A306" s="786"/>
      <c r="C306" s="1583"/>
      <c r="D306" s="1593"/>
      <c r="E306" s="1594"/>
      <c r="F306" s="1605"/>
      <c r="G306" s="1605"/>
      <c r="H306" s="774" t="s">
        <v>511</v>
      </c>
      <c r="I306" s="1196">
        <f>'Statewide Ref Dispostion'!AN15</f>
        <v>1.4023771042849197E-2</v>
      </c>
      <c r="J306" s="1195">
        <f>'Statewide Ref Dispostion'!AP15</f>
        <v>0.82062945896532768</v>
      </c>
      <c r="K306" s="1230">
        <f>'Statewide Ref Dispostion'!AT15</f>
        <v>61</v>
      </c>
      <c r="Z306" s="1047"/>
    </row>
    <row r="307" spans="1:26">
      <c r="A307" s="786"/>
      <c r="C307" s="1583"/>
      <c r="D307" s="1593"/>
      <c r="E307" s="1592" t="s">
        <v>343</v>
      </c>
      <c r="F307" s="1575" t="s">
        <v>344</v>
      </c>
      <c r="G307" s="1575"/>
      <c r="H307" s="1575"/>
      <c r="I307" s="1196">
        <f>'Statewide Ref Dispostion'!AN16</f>
        <v>4.3865910057667235E-3</v>
      </c>
      <c r="J307" s="1195">
        <f>'Statewide Ref Dispostion'!AP16</f>
        <v>0.31215528612774668</v>
      </c>
      <c r="K307" s="1230">
        <f>'Statewide Ref Dispostion'!AT16</f>
        <v>67</v>
      </c>
      <c r="Z307" s="1047"/>
    </row>
    <row r="308" spans="1:26">
      <c r="A308" s="786"/>
      <c r="C308" s="1583"/>
      <c r="D308" s="1593"/>
      <c r="E308" s="1593"/>
      <c r="F308" s="1575" t="s">
        <v>345</v>
      </c>
      <c r="G308" s="1575"/>
      <c r="H308" s="1575"/>
      <c r="I308" s="1196">
        <f>'Statewide Ref Dispostion'!AN17</f>
        <v>2.0012557038668416E-2</v>
      </c>
      <c r="J308" s="1195">
        <f>'Statewide Ref Dispostion'!AP17</f>
        <v>1.1081772867721706</v>
      </c>
      <c r="K308" s="1230">
        <f>'Statewide Ref Dispostion'!AT17</f>
        <v>67</v>
      </c>
      <c r="Z308" s="1047"/>
    </row>
    <row r="309" spans="1:26">
      <c r="A309" s="786"/>
      <c r="C309" s="1583"/>
      <c r="D309" s="1593"/>
      <c r="E309" s="1593"/>
      <c r="F309" s="1575" t="s">
        <v>346</v>
      </c>
      <c r="G309" s="1575"/>
      <c r="H309" s="1575"/>
      <c r="I309" s="1196">
        <f>'Statewide Ref Dispostion'!AN18</f>
        <v>1.2032597130769086E-2</v>
      </c>
      <c r="J309" s="1195">
        <f>'Statewide Ref Dispostion'!AP18</f>
        <v>0.69844116090033626</v>
      </c>
      <c r="K309" s="1230">
        <f>'Statewide Ref Dispostion'!AT18</f>
        <v>67</v>
      </c>
      <c r="Z309" s="1047"/>
    </row>
    <row r="310" spans="1:26">
      <c r="A310" s="786"/>
      <c r="C310" s="1583"/>
      <c r="D310" s="1594"/>
      <c r="E310" s="1594"/>
      <c r="F310" s="1575" t="s">
        <v>347</v>
      </c>
      <c r="G310" s="1575"/>
      <c r="H310" s="1575"/>
      <c r="I310" s="1196">
        <f>'Statewide Ref Dispostion'!AN19</f>
        <v>3.6340924882971623E-2</v>
      </c>
      <c r="J310" s="1195">
        <f>'Statewide Ref Dispostion'!AP19</f>
        <v>1.91660078991883</v>
      </c>
      <c r="K310" s="1230">
        <f>'Statewide Ref Dispostion'!AT19</f>
        <v>67</v>
      </c>
      <c r="Z310" s="1047"/>
    </row>
    <row r="311" spans="1:26">
      <c r="A311" s="786"/>
      <c r="C311" s="1583"/>
      <c r="D311" s="1592" t="s">
        <v>88</v>
      </c>
      <c r="E311" s="1583" t="s">
        <v>348</v>
      </c>
      <c r="F311" s="1592" t="s">
        <v>342</v>
      </c>
      <c r="G311" s="1584" t="s">
        <v>345</v>
      </c>
      <c r="H311" s="1586"/>
      <c r="I311" s="1196">
        <f>'Statewide Ref Dispostion'!AN20</f>
        <v>7.4297916790629318E-2</v>
      </c>
      <c r="J311" s="1195">
        <f>'Statewide Ref Dispostion'!AP20</f>
        <v>5.8945527307264713</v>
      </c>
      <c r="K311" s="1230">
        <f>'Statewide Ref Dispostion'!AT20</f>
        <v>105</v>
      </c>
      <c r="Z311" s="1047"/>
    </row>
    <row r="312" spans="1:26">
      <c r="A312" s="786"/>
      <c r="C312" s="1583"/>
      <c r="D312" s="1593"/>
      <c r="E312" s="1583"/>
      <c r="F312" s="1593"/>
      <c r="G312" s="1587" t="s">
        <v>346</v>
      </c>
      <c r="H312" s="1587"/>
      <c r="I312" s="1196">
        <f>'Statewide Ref Dispostion'!AN21</f>
        <v>5.6951714683935721E-2</v>
      </c>
      <c r="J312" s="1195">
        <f>'Statewide Ref Dispostion'!AP21</f>
        <v>4.5430947206500267</v>
      </c>
      <c r="K312" s="1230">
        <f>'Statewide Ref Dispostion'!AT21</f>
        <v>105</v>
      </c>
      <c r="Z312" s="1047"/>
    </row>
    <row r="313" spans="1:26">
      <c r="A313" s="786"/>
      <c r="C313" s="1583"/>
      <c r="D313" s="1593"/>
      <c r="E313" s="1583"/>
      <c r="F313" s="1593"/>
      <c r="G313" s="1595" t="s">
        <v>495</v>
      </c>
      <c r="H313" s="774" t="s">
        <v>509</v>
      </c>
      <c r="I313" s="1196">
        <f>'Statewide Ref Dispostion'!AN22</f>
        <v>3.297520714939247E-2</v>
      </c>
      <c r="J313" s="1195">
        <f>'Statewide Ref Dispostion'!AP22</f>
        <v>2.6751857303164588</v>
      </c>
      <c r="K313" s="1230">
        <f>'Statewide Ref Dispostion'!AT22</f>
        <v>22</v>
      </c>
      <c r="Z313" s="1047"/>
    </row>
    <row r="314" spans="1:26">
      <c r="A314" s="786"/>
      <c r="C314" s="1583"/>
      <c r="D314" s="1593"/>
      <c r="E314" s="1583"/>
      <c r="F314" s="1594"/>
      <c r="G314" s="1596"/>
      <c r="H314" s="774" t="s">
        <v>511</v>
      </c>
      <c r="I314" s="1196">
        <f>'Statewide Ref Dispostion'!AN23</f>
        <v>2.8933750518450236E-3</v>
      </c>
      <c r="J314" s="1195">
        <f>'Statewide Ref Dispostion'!AP23</f>
        <v>0.31005092682723129</v>
      </c>
      <c r="K314" s="1230">
        <f>'Statewide Ref Dispostion'!AT23</f>
        <v>22</v>
      </c>
      <c r="Z314" s="1047"/>
    </row>
    <row r="315" spans="1:26">
      <c r="A315" s="786"/>
      <c r="C315" s="1583"/>
      <c r="D315" s="1593"/>
      <c r="E315" s="1583"/>
      <c r="F315" s="1597" t="s">
        <v>343</v>
      </c>
      <c r="G315" s="1600" t="s">
        <v>345</v>
      </c>
      <c r="H315" s="1601"/>
      <c r="I315" s="1196">
        <f>'Statewide Ref Dispostion'!AN24</f>
        <v>9.318003797670742E-3</v>
      </c>
      <c r="J315" s="1195">
        <f>'Statewide Ref Dispostion'!AP24</f>
        <v>0.77282016983257151</v>
      </c>
      <c r="K315" s="1230">
        <f>'Statewide Ref Dispostion'!AT24</f>
        <v>11</v>
      </c>
      <c r="Z315" s="1047"/>
    </row>
    <row r="316" spans="1:26">
      <c r="A316" s="786"/>
      <c r="C316" s="1583"/>
      <c r="D316" s="1593"/>
      <c r="E316" s="1583"/>
      <c r="F316" s="1598"/>
      <c r="G316" s="1587" t="s">
        <v>346</v>
      </c>
      <c r="H316" s="1587"/>
      <c r="I316" s="1196">
        <f>'Statewide Ref Dispostion'!AN25</f>
        <v>5.3098210650899032E-3</v>
      </c>
      <c r="J316" s="1195">
        <f>'Statewide Ref Dispostion'!AP25</f>
        <v>0.47994651336711391</v>
      </c>
      <c r="K316" s="1230">
        <f>'Statewide Ref Dispostion'!AT25</f>
        <v>11</v>
      </c>
      <c r="Z316" s="1047"/>
    </row>
    <row r="317" spans="1:26">
      <c r="A317" s="786"/>
      <c r="C317" s="1583"/>
      <c r="D317" s="1593"/>
      <c r="E317" s="1583"/>
      <c r="F317" s="1599"/>
      <c r="G317" s="1587" t="s">
        <v>347</v>
      </c>
      <c r="H317" s="1587"/>
      <c r="I317" s="1196">
        <f>'Statewide Ref Dispostion'!AN26</f>
        <v>1.1841082338023101E-3</v>
      </c>
      <c r="J317" s="1195">
        <f>'Statewide Ref Dispostion'!AP26</f>
        <v>0.15243155333857014</v>
      </c>
      <c r="K317" s="1230">
        <f>'Statewide Ref Dispostion'!AT26</f>
        <v>11</v>
      </c>
      <c r="Z317" s="1047"/>
    </row>
    <row r="318" spans="1:26">
      <c r="A318" s="786"/>
      <c r="C318" s="1583"/>
      <c r="D318" s="1593"/>
      <c r="E318" s="1583" t="s">
        <v>342</v>
      </c>
      <c r="F318" s="1584" t="s">
        <v>349</v>
      </c>
      <c r="G318" s="1585"/>
      <c r="H318" s="1586"/>
      <c r="I318" s="1196">
        <f>'Statewide Ref Dispostion'!AN27</f>
        <v>1.105280935239851E-2</v>
      </c>
      <c r="J318" s="1195">
        <f>'Statewide Ref Dispostion'!AP27</f>
        <v>0.86811967799163647</v>
      </c>
      <c r="K318" s="1230">
        <f>'Statewide Ref Dispostion'!AT27</f>
        <v>42</v>
      </c>
      <c r="Z318" s="1047"/>
    </row>
    <row r="319" spans="1:26">
      <c r="A319" s="786"/>
      <c r="C319" s="1583"/>
      <c r="D319" s="1593"/>
      <c r="E319" s="1583"/>
      <c r="F319" s="1575" t="s">
        <v>350</v>
      </c>
      <c r="G319" s="1575"/>
      <c r="H319" s="1575"/>
      <c r="I319" s="1196">
        <f>'Statewide Ref Dispostion'!AN28</f>
        <v>5.6345838280219213E-3</v>
      </c>
      <c r="J319" s="1195">
        <f>'Statewide Ref Dispostion'!AP28</f>
        <v>0.44255654308719217</v>
      </c>
      <c r="K319" s="1230">
        <f>'Statewide Ref Dispostion'!AT28</f>
        <v>42</v>
      </c>
      <c r="Z319" s="1047"/>
    </row>
    <row r="320" spans="1:26">
      <c r="A320" s="786"/>
      <c r="C320" s="1583"/>
      <c r="D320" s="1593"/>
      <c r="E320" s="1583"/>
      <c r="F320" s="1575" t="s">
        <v>57</v>
      </c>
      <c r="G320" s="1575"/>
      <c r="H320" s="1575"/>
      <c r="I320" s="1196">
        <f>'Statewide Ref Dispostion'!AN29</f>
        <v>6.6700356800320753E-3</v>
      </c>
      <c r="J320" s="1195">
        <f>'Statewide Ref Dispostion'!AP29</f>
        <v>0.52388393232220454</v>
      </c>
      <c r="K320" s="1230">
        <f>'Statewide Ref Dispostion'!AT29</f>
        <v>42</v>
      </c>
      <c r="Z320" s="1047"/>
    </row>
    <row r="321" spans="1:27">
      <c r="A321" s="786"/>
      <c r="C321" s="1583"/>
      <c r="D321" s="1593"/>
      <c r="E321" s="1588" t="s">
        <v>266</v>
      </c>
      <c r="F321" s="1588"/>
      <c r="G321" s="1588"/>
      <c r="H321" s="1588"/>
      <c r="I321" s="1196">
        <f>'Statewide Ref Dispostion'!AN30</f>
        <v>0.11329664889249251</v>
      </c>
      <c r="J321" s="1195">
        <f>'Statewide Ref Dispostion'!AP30</f>
        <v>8.8986471419357827</v>
      </c>
      <c r="K321" s="1230">
        <f>'Statewide Ref Dispostion'!AT30</f>
        <v>42</v>
      </c>
      <c r="Z321" s="1047"/>
    </row>
    <row r="322" spans="1:27">
      <c r="A322" s="786"/>
      <c r="C322" s="1613" t="s">
        <v>5</v>
      </c>
      <c r="D322" s="1614"/>
      <c r="E322" s="1614"/>
      <c r="F322" s="1614"/>
      <c r="G322" s="1614"/>
      <c r="H322" s="1615"/>
      <c r="I322" s="1196">
        <f>'Statewide Ref Dispostion'!AN31</f>
        <v>0.99446916635964477</v>
      </c>
      <c r="J322" s="1195"/>
      <c r="K322" s="1230"/>
      <c r="Z322" s="1047"/>
    </row>
    <row r="323" spans="1:27">
      <c r="A323" s="786"/>
      <c r="Z323" s="1047"/>
    </row>
    <row r="324" spans="1:27">
      <c r="A324" s="786"/>
      <c r="Z324" s="1047"/>
    </row>
    <row r="325" spans="1:27">
      <c r="A325" s="786"/>
      <c r="Z325" s="1047"/>
    </row>
    <row r="326" spans="1:27" ht="15" thickBot="1">
      <c r="A326" s="786"/>
      <c r="C326" s="532" t="s">
        <v>872</v>
      </c>
      <c r="Z326" s="1047"/>
    </row>
    <row r="327" spans="1:27" ht="15" thickBot="1">
      <c r="A327" s="786"/>
      <c r="D327" s="508" t="s">
        <v>886</v>
      </c>
      <c r="E327" s="1045" t="s">
        <v>989</v>
      </c>
      <c r="F327" s="1045" t="s">
        <v>594</v>
      </c>
      <c r="G327" s="1045" t="s">
        <v>990</v>
      </c>
      <c r="AA327" s="1047"/>
    </row>
    <row r="328" spans="1:27" ht="15" thickBot="1">
      <c r="A328" s="786"/>
      <c r="D328" s="1624" t="s">
        <v>290</v>
      </c>
      <c r="E328" s="1375" t="s">
        <v>303</v>
      </c>
      <c r="F328" s="1376">
        <f>'Gross UECs'!A59</f>
        <v>123</v>
      </c>
      <c r="G328" s="1377">
        <f>'Gross UECs'!B59</f>
        <v>8.1606825999999995</v>
      </c>
      <c r="AA328" s="1047"/>
    </row>
    <row r="329" spans="1:27" ht="15" thickBot="1">
      <c r="A329" s="786"/>
      <c r="D329" s="1625"/>
      <c r="E329" s="1375" t="s">
        <v>991</v>
      </c>
      <c r="F329" s="1376">
        <f>'Gross UECs'!A65</f>
        <v>285</v>
      </c>
      <c r="G329" s="1377">
        <f>'Gross UECs'!B65</f>
        <v>6.2468271</v>
      </c>
      <c r="AA329" s="1047"/>
    </row>
    <row r="330" spans="1:27" ht="15" thickBot="1">
      <c r="A330" s="786"/>
      <c r="D330" s="1624" t="s">
        <v>289</v>
      </c>
      <c r="E330" s="1375" t="s">
        <v>303</v>
      </c>
      <c r="F330" s="1376">
        <f>'Gross UECs'!A73</f>
        <v>17</v>
      </c>
      <c r="G330" s="1377">
        <f>'Gross UECs'!B73</f>
        <v>9.3898881999999997</v>
      </c>
      <c r="AA330" s="1047"/>
    </row>
    <row r="331" spans="1:27" ht="15" thickBot="1">
      <c r="A331" s="786"/>
      <c r="D331" s="1625"/>
      <c r="E331" s="1375" t="s">
        <v>991</v>
      </c>
      <c r="F331" s="1376">
        <f>'Gross UECs'!A79</f>
        <v>30</v>
      </c>
      <c r="G331" s="1377">
        <f>'Gross UECs'!B79</f>
        <v>5.9499171999999998</v>
      </c>
      <c r="AA331" s="1047"/>
    </row>
    <row r="332" spans="1:27">
      <c r="A332" s="786"/>
      <c r="C332" s="822" t="s">
        <v>874</v>
      </c>
      <c r="Z332" s="1047"/>
    </row>
    <row r="333" spans="1:27">
      <c r="A333" s="786"/>
      <c r="C333" s="916" t="s">
        <v>873</v>
      </c>
      <c r="Z333" s="1047"/>
    </row>
    <row r="334" spans="1:27">
      <c r="A334" s="786"/>
      <c r="Z334" s="1047"/>
    </row>
    <row r="335" spans="1:27">
      <c r="A335" s="786"/>
      <c r="C335" s="822" t="s">
        <v>875</v>
      </c>
      <c r="Z335" s="1047"/>
    </row>
    <row r="336" spans="1:27">
      <c r="A336" s="786"/>
      <c r="C336" s="916" t="s">
        <v>877</v>
      </c>
      <c r="Z336" s="1047"/>
    </row>
    <row r="337" spans="1:26">
      <c r="A337" s="786"/>
      <c r="Z337" s="1047"/>
    </row>
    <row r="338" spans="1:26" ht="15" thickBot="1">
      <c r="A338" s="786"/>
      <c r="C338" s="116" t="s">
        <v>878</v>
      </c>
      <c r="D338" s="822" t="s">
        <v>965</v>
      </c>
      <c r="Z338" s="1047"/>
    </row>
    <row r="339" spans="1:26" ht="28.2" thickBot="1">
      <c r="A339" s="786"/>
      <c r="C339" s="916" t="s">
        <v>879</v>
      </c>
      <c r="D339" s="1321" t="s">
        <v>100</v>
      </c>
      <c r="E339" s="1320" t="s">
        <v>0</v>
      </c>
      <c r="F339" s="1320" t="s">
        <v>594</v>
      </c>
      <c r="G339" s="1320" t="s">
        <v>950</v>
      </c>
      <c r="H339" s="1322" t="s">
        <v>177</v>
      </c>
      <c r="I339" s="1320" t="s">
        <v>951</v>
      </c>
      <c r="J339" s="1320" t="s">
        <v>177</v>
      </c>
      <c r="K339" s="1320" t="s">
        <v>952</v>
      </c>
      <c r="L339" s="1320" t="s">
        <v>177</v>
      </c>
      <c r="Z339" s="1047"/>
    </row>
    <row r="340" spans="1:26" ht="15" thickBot="1">
      <c r="A340" s="786"/>
      <c r="D340" s="1621" t="s">
        <v>290</v>
      </c>
      <c r="E340" s="1323" t="s">
        <v>256</v>
      </c>
      <c r="F340" s="1324">
        <v>85</v>
      </c>
      <c r="G340" s="1325">
        <v>1112</v>
      </c>
      <c r="H340" s="1326" t="s">
        <v>953</v>
      </c>
      <c r="I340" s="1325">
        <v>1175</v>
      </c>
      <c r="J340" s="1327" t="s">
        <v>954</v>
      </c>
      <c r="K340" s="1328">
        <v>1605</v>
      </c>
      <c r="L340" s="1327" t="s">
        <v>955</v>
      </c>
      <c r="Z340" s="1047"/>
    </row>
    <row r="341" spans="1:26" ht="15" thickBot="1">
      <c r="A341" s="786"/>
      <c r="C341" s="116" t="s">
        <v>881</v>
      </c>
      <c r="D341" s="1622"/>
      <c r="E341" s="1323" t="s">
        <v>18</v>
      </c>
      <c r="F341" s="1324">
        <v>205</v>
      </c>
      <c r="G341" s="1325">
        <v>1073</v>
      </c>
      <c r="H341" s="1326" t="s">
        <v>956</v>
      </c>
      <c r="I341" s="1325">
        <v>1209</v>
      </c>
      <c r="J341" s="1327" t="s">
        <v>957</v>
      </c>
      <c r="K341" s="1328">
        <v>1617</v>
      </c>
      <c r="L341" s="1327" t="s">
        <v>958</v>
      </c>
      <c r="Z341" s="1047"/>
    </row>
    <row r="342" spans="1:26" ht="15" thickBot="1">
      <c r="A342" s="786"/>
      <c r="C342" s="916" t="s">
        <v>880</v>
      </c>
      <c r="D342" s="1623"/>
      <c r="E342" s="1323" t="s">
        <v>257</v>
      </c>
      <c r="F342" s="1324">
        <v>81</v>
      </c>
      <c r="G342" s="1324">
        <v>954</v>
      </c>
      <c r="H342" s="1326" t="s">
        <v>959</v>
      </c>
      <c r="I342" s="1324">
        <v>999</v>
      </c>
      <c r="J342" s="1327" t="s">
        <v>960</v>
      </c>
      <c r="K342" s="1328">
        <v>1402</v>
      </c>
      <c r="L342" s="1327" t="s">
        <v>961</v>
      </c>
      <c r="Z342" s="1047"/>
    </row>
    <row r="343" spans="1:26" ht="15" thickBot="1">
      <c r="A343" s="786"/>
      <c r="D343" s="1049" t="s">
        <v>289</v>
      </c>
      <c r="E343" s="1323" t="s">
        <v>161</v>
      </c>
      <c r="F343" s="1324">
        <v>19</v>
      </c>
      <c r="G343" s="1324">
        <v>965</v>
      </c>
      <c r="H343" s="1326" t="s">
        <v>962</v>
      </c>
      <c r="I343" s="1325">
        <v>1413</v>
      </c>
      <c r="J343" s="1327" t="s">
        <v>963</v>
      </c>
      <c r="K343" s="1328">
        <v>1382</v>
      </c>
      <c r="L343" s="1327" t="s">
        <v>964</v>
      </c>
      <c r="Z343" s="1047"/>
    </row>
    <row r="344" spans="1:26">
      <c r="A344" s="786"/>
      <c r="C344" s="116" t="s">
        <v>882</v>
      </c>
      <c r="Z344" s="1047"/>
    </row>
    <row r="345" spans="1:26">
      <c r="A345" s="786"/>
      <c r="C345" s="916" t="s">
        <v>879</v>
      </c>
      <c r="Z345" s="1047"/>
    </row>
    <row r="346" spans="1:26">
      <c r="A346" s="786"/>
      <c r="Z346" s="1047"/>
    </row>
    <row r="347" spans="1:26">
      <c r="A347" s="786"/>
      <c r="C347" s="822" t="s">
        <v>550</v>
      </c>
      <c r="Z347" s="1047"/>
    </row>
    <row r="348" spans="1:26">
      <c r="A348" s="786"/>
      <c r="C348" s="916" t="s">
        <v>884</v>
      </c>
      <c r="Z348" s="1047"/>
    </row>
    <row r="349" spans="1:26">
      <c r="A349" s="786"/>
      <c r="C349" s="822" t="s">
        <v>949</v>
      </c>
      <c r="Z349" s="1047"/>
    </row>
    <row r="350" spans="1:26">
      <c r="A350" s="786"/>
      <c r="C350" s="1566" t="s">
        <v>945</v>
      </c>
      <c r="D350" s="1566"/>
      <c r="E350" s="1566"/>
      <c r="F350" s="1566"/>
      <c r="G350" s="1566"/>
      <c r="H350" s="1311" t="s">
        <v>161</v>
      </c>
      <c r="I350" s="1311" t="s">
        <v>293</v>
      </c>
      <c r="J350" s="1311" t="s">
        <v>594</v>
      </c>
      <c r="Z350" s="1047"/>
    </row>
    <row r="351" spans="1:26">
      <c r="A351" s="786"/>
      <c r="C351" s="1567" t="s">
        <v>267</v>
      </c>
      <c r="D351" s="1567"/>
      <c r="E351" s="1567"/>
      <c r="F351" s="1567"/>
      <c r="G351" s="1567"/>
      <c r="H351" s="1312">
        <f>'All IOU FRZ NTG'!U14</f>
        <v>0.14176194080000001</v>
      </c>
      <c r="I351" s="1313">
        <f>'All IOU FRZ NTG'!V14</f>
        <v>3.4208442938735968</v>
      </c>
      <c r="J351" s="1314">
        <f>'All IOU FRZ NTG'!Y14</f>
        <v>15</v>
      </c>
      <c r="Z351" s="1047"/>
    </row>
    <row r="352" spans="1:26">
      <c r="A352" s="786"/>
      <c r="C352" s="1567" t="s">
        <v>268</v>
      </c>
      <c r="D352" s="1567"/>
      <c r="E352" s="1567"/>
      <c r="F352" s="1567"/>
      <c r="G352" s="1567"/>
      <c r="H352" s="1371">
        <f>'All IOU FRZ NTG'!U15</f>
        <v>1.8298059200000001E-2</v>
      </c>
      <c r="I352" s="1313">
        <f>'All IOU FRZ NTG'!V15</f>
        <v>1.4797755598255924</v>
      </c>
      <c r="J352" s="1314">
        <f>'All IOU FRZ NTG'!Y15</f>
        <v>15</v>
      </c>
      <c r="Z352" s="1047"/>
    </row>
    <row r="353" spans="1:29">
      <c r="A353" s="786"/>
      <c r="C353" s="1567" t="s">
        <v>133</v>
      </c>
      <c r="D353" s="1567"/>
      <c r="E353" s="1567"/>
      <c r="F353" s="1567"/>
      <c r="G353" s="1567"/>
      <c r="H353" s="1371">
        <f>'All IOU FRZ NTG'!U16</f>
        <v>0.12617494686</v>
      </c>
      <c r="I353" s="1313">
        <f>'All IOU FRZ NTG'!V16</f>
        <v>3.4961287982776534</v>
      </c>
      <c r="J353" s="1314">
        <f>'All IOU FRZ NTG'!Y16</f>
        <v>74</v>
      </c>
      <c r="Z353" s="1047"/>
    </row>
    <row r="354" spans="1:29">
      <c r="A354" s="786"/>
      <c r="C354" s="1568" t="s">
        <v>340</v>
      </c>
      <c r="D354" s="1568" t="s">
        <v>341</v>
      </c>
      <c r="E354" s="1568" t="s">
        <v>342</v>
      </c>
      <c r="F354" s="1569" t="s">
        <v>946</v>
      </c>
      <c r="G354" s="1569"/>
      <c r="H354" s="1371">
        <f>'All IOU FRZ NTG'!U17</f>
        <v>0</v>
      </c>
      <c r="I354" s="1313">
        <f>'All IOU FRZ NTG'!V17</f>
        <v>0</v>
      </c>
      <c r="J354" s="1314">
        <f>'All IOU FRZ NTG'!Y17</f>
        <v>18</v>
      </c>
      <c r="Z354" s="1047"/>
    </row>
    <row r="355" spans="1:29">
      <c r="A355" s="786"/>
      <c r="C355" s="1568"/>
      <c r="D355" s="1568"/>
      <c r="E355" s="1568"/>
      <c r="F355" s="1569" t="s">
        <v>947</v>
      </c>
      <c r="G355" s="1569"/>
      <c r="H355" s="1371">
        <f>'All IOU FRZ NTG'!U18</f>
        <v>5.6488588347644642E-2</v>
      </c>
      <c r="I355" s="1313">
        <f>'All IOU FRZ NTG'!V18</f>
        <v>2.3644338304540962</v>
      </c>
      <c r="J355" s="1314">
        <f>'All IOU FRZ NTG'!Y18</f>
        <v>18</v>
      </c>
      <c r="Z355" s="1047"/>
    </row>
    <row r="356" spans="1:29">
      <c r="A356" s="786"/>
      <c r="C356" s="1568"/>
      <c r="D356" s="1568"/>
      <c r="E356" s="1568"/>
      <c r="F356" s="1569" t="s">
        <v>948</v>
      </c>
      <c r="G356" s="1569"/>
      <c r="H356" s="1371">
        <f>'All IOU FRZ NTG'!U19</f>
        <v>4.5324846533456163E-2</v>
      </c>
      <c r="I356" s="1313">
        <f>'All IOU FRZ NTG'!V19</f>
        <v>2.4034168792895034</v>
      </c>
      <c r="J356" s="1314">
        <f>'All IOU FRZ NTG'!Y19</f>
        <v>18</v>
      </c>
      <c r="Z356" s="1047"/>
    </row>
    <row r="357" spans="1:29">
      <c r="A357" s="786"/>
      <c r="C357" s="1568"/>
      <c r="D357" s="1568"/>
      <c r="E357" s="1568"/>
      <c r="F357" s="1569" t="s">
        <v>495</v>
      </c>
      <c r="G357" s="1569"/>
      <c r="H357" s="1371">
        <f>'All IOU FRZ NTG'!U20</f>
        <v>0.2404856334388992</v>
      </c>
      <c r="I357" s="1313">
        <f>'All IOU FRZ NTG'!V20</f>
        <v>4.5111360504628468</v>
      </c>
      <c r="J357" s="1314">
        <f>'All IOU FRZ NTG'!Y20</f>
        <v>18</v>
      </c>
      <c r="Z357" s="1047"/>
    </row>
    <row r="358" spans="1:29">
      <c r="A358" s="786"/>
      <c r="C358" s="1568"/>
      <c r="D358" s="1568" t="s">
        <v>88</v>
      </c>
      <c r="E358" s="1568" t="s">
        <v>342</v>
      </c>
      <c r="F358" s="1568" t="s">
        <v>348</v>
      </c>
      <c r="G358" s="1315" t="s">
        <v>947</v>
      </c>
      <c r="H358" s="1371">
        <f>'All IOU FRZ NTG'!U21</f>
        <v>5.192937672994366E-2</v>
      </c>
      <c r="I358" s="1313">
        <f>'All IOU FRZ NTG'!V21</f>
        <v>1.3084793525470542</v>
      </c>
      <c r="J358" s="1314">
        <f>'All IOU FRZ NTG'!Y21</f>
        <v>31</v>
      </c>
      <c r="Z358" s="1047"/>
    </row>
    <row r="359" spans="1:29">
      <c r="A359" s="786"/>
      <c r="C359" s="1568"/>
      <c r="D359" s="1568"/>
      <c r="E359" s="1568"/>
      <c r="F359" s="1568"/>
      <c r="G359" s="1315" t="s">
        <v>948</v>
      </c>
      <c r="H359" s="1371">
        <f>'All IOU FRZ NTG'!U22</f>
        <v>3.6121372527441929E-2</v>
      </c>
      <c r="I359" s="1313">
        <f>'All IOU FRZ NTG'!V22</f>
        <v>1.0885840219912153</v>
      </c>
      <c r="J359" s="1314">
        <f>'All IOU FRZ NTG'!Y22</f>
        <v>31</v>
      </c>
      <c r="Z359" s="1047"/>
    </row>
    <row r="360" spans="1:29">
      <c r="A360" s="786"/>
      <c r="C360" s="1568"/>
      <c r="D360" s="1568"/>
      <c r="E360" s="1568"/>
      <c r="F360" s="1568"/>
      <c r="G360" s="1315" t="s">
        <v>861</v>
      </c>
      <c r="H360" s="1371">
        <f>'All IOU FRZ NTG'!U23</f>
        <v>0.12457675191956724</v>
      </c>
      <c r="I360" s="1313">
        <f>'All IOU FRZ NTG'!V23</f>
        <v>1.9760431631578428</v>
      </c>
      <c r="J360" s="1314">
        <f>'All IOU FRZ NTG'!Y23</f>
        <v>31</v>
      </c>
      <c r="Z360" s="1047"/>
    </row>
    <row r="361" spans="1:29">
      <c r="A361" s="786"/>
      <c r="C361" s="1568"/>
      <c r="D361" s="1568"/>
      <c r="E361" s="1568" t="s">
        <v>342</v>
      </c>
      <c r="F361" s="1567" t="s">
        <v>349</v>
      </c>
      <c r="G361" s="1567"/>
      <c r="H361" s="1371">
        <f>'All IOU FRZ NTG'!U24</f>
        <v>1.2847151084999699E-2</v>
      </c>
      <c r="I361" s="1313">
        <f>'All IOU FRZ NTG'!V24</f>
        <v>0.18250501861584872</v>
      </c>
      <c r="J361" s="1314">
        <f>'All IOU FRZ NTG'!Y24</f>
        <v>42</v>
      </c>
      <c r="Z361" s="1047"/>
    </row>
    <row r="362" spans="1:29">
      <c r="A362" s="786"/>
      <c r="C362" s="1568"/>
      <c r="D362" s="1568"/>
      <c r="E362" s="1568"/>
      <c r="F362" s="1567" t="s">
        <v>350</v>
      </c>
      <c r="G362" s="1567"/>
      <c r="H362" s="1371">
        <f>'All IOU FRZ NTG'!U25</f>
        <v>6.5493167783614199E-3</v>
      </c>
      <c r="I362" s="1313">
        <f>'All IOU FRZ NTG'!V25</f>
        <v>9.3038773549690007E-2</v>
      </c>
      <c r="J362" s="1314">
        <f>'All IOU FRZ NTG'!Y25</f>
        <v>42</v>
      </c>
      <c r="Z362" s="1047"/>
    </row>
    <row r="363" spans="1:29">
      <c r="A363" s="786"/>
      <c r="C363" s="1568"/>
      <c r="D363" s="1568"/>
      <c r="E363" s="1568"/>
      <c r="F363" s="1567" t="s">
        <v>57</v>
      </c>
      <c r="G363" s="1567"/>
      <c r="H363" s="1371">
        <f>'All IOU FRZ NTG'!U26</f>
        <v>7.7528665691782199E-3</v>
      </c>
      <c r="I363" s="1313">
        <f>'All IOU FRZ NTG'!V26</f>
        <v>0.11013625107796382</v>
      </c>
      <c r="J363" s="1314">
        <f>'All IOU FRZ NTG'!Y26</f>
        <v>42</v>
      </c>
      <c r="Z363" s="1047"/>
    </row>
    <row r="364" spans="1:29">
      <c r="A364" s="786"/>
      <c r="C364" s="1568"/>
      <c r="D364" s="1568"/>
      <c r="E364" s="1567" t="s">
        <v>266</v>
      </c>
      <c r="F364" s="1567"/>
      <c r="G364" s="1567"/>
      <c r="H364" s="1371">
        <f>'All IOU FRZ NTG'!U27</f>
        <v>0.13168952067649267</v>
      </c>
      <c r="I364" s="1313">
        <f>'All IOU FRZ NTG'!V27</f>
        <v>1.8707648305496714</v>
      </c>
      <c r="J364" s="1314">
        <f>'All IOU FRZ NTG'!Y27</f>
        <v>42</v>
      </c>
      <c r="Z364" s="1047"/>
    </row>
    <row r="365" spans="1:29">
      <c r="A365" s="786"/>
      <c r="C365" s="1620" t="s">
        <v>5</v>
      </c>
      <c r="D365" s="1620"/>
      <c r="E365" s="1620"/>
      <c r="F365" s="1620"/>
      <c r="G365" s="1620"/>
      <c r="H365" s="1312">
        <f>'All IOU FRZ NTG'!U28</f>
        <v>1.0000003714659849</v>
      </c>
      <c r="I365" s="1316"/>
      <c r="J365" s="1317"/>
      <c r="Z365" s="1047"/>
    </row>
    <row r="366" spans="1:29">
      <c r="A366" s="786"/>
      <c r="Z366" s="1047"/>
    </row>
    <row r="367" spans="1:29">
      <c r="A367" s="786"/>
      <c r="C367" s="822" t="s">
        <v>885</v>
      </c>
      <c r="Z367" s="1047"/>
    </row>
    <row r="368" spans="1:29" ht="51.75" customHeight="1" thickBot="1">
      <c r="A368" s="786"/>
      <c r="C368" s="1119" t="s">
        <v>886</v>
      </c>
      <c r="D368" s="1119" t="s">
        <v>311</v>
      </c>
      <c r="E368" s="1119" t="s">
        <v>256</v>
      </c>
      <c r="F368" s="1354"/>
      <c r="G368" s="1119" t="s">
        <v>18</v>
      </c>
      <c r="H368" s="1354"/>
      <c r="I368" s="1354" t="s">
        <v>257</v>
      </c>
      <c r="J368" s="1119" t="s">
        <v>257</v>
      </c>
      <c r="L368" s="1720" t="s">
        <v>981</v>
      </c>
      <c r="M368" s="1721"/>
      <c r="N368" s="1721"/>
      <c r="O368" s="1721"/>
      <c r="P368" s="1721"/>
      <c r="Q368" s="1721"/>
      <c r="S368" s="916" t="s">
        <v>982</v>
      </c>
      <c r="AC368" s="1047"/>
    </row>
    <row r="369" spans="1:29" ht="76.2" thickBot="1">
      <c r="A369" s="786"/>
      <c r="C369" s="1582" t="s">
        <v>290</v>
      </c>
      <c r="D369" s="500" t="s">
        <v>887</v>
      </c>
      <c r="E369" s="1378">
        <v>0</v>
      </c>
      <c r="F369" s="1379"/>
      <c r="G369" s="1379"/>
      <c r="H369" s="1379"/>
      <c r="I369" s="1380"/>
      <c r="J369" s="1380"/>
      <c r="K369" s="916" t="s">
        <v>980</v>
      </c>
      <c r="L369" s="699" t="s">
        <v>100</v>
      </c>
      <c r="M369" s="699" t="s">
        <v>0</v>
      </c>
      <c r="N369" s="699" t="s">
        <v>34</v>
      </c>
      <c r="O369" s="700" t="s">
        <v>483</v>
      </c>
      <c r="P369" s="699" t="s">
        <v>177</v>
      </c>
      <c r="Q369" s="699" t="s">
        <v>178</v>
      </c>
      <c r="S369" s="699" t="s">
        <v>100</v>
      </c>
      <c r="T369" s="699" t="s">
        <v>0</v>
      </c>
      <c r="U369" s="699" t="s">
        <v>34</v>
      </c>
      <c r="V369" s="700" t="s">
        <v>483</v>
      </c>
      <c r="W369" s="699" t="s">
        <v>177</v>
      </c>
      <c r="X369" s="699" t="s">
        <v>178</v>
      </c>
      <c r="AC369" s="1047"/>
    </row>
    <row r="370" spans="1:29" ht="15" thickBot="1">
      <c r="A370" s="786"/>
      <c r="C370" s="1582"/>
      <c r="D370" s="500" t="s">
        <v>888</v>
      </c>
      <c r="E370" s="1231">
        <v>791</v>
      </c>
      <c r="F370" s="1355"/>
      <c r="G370" s="1231">
        <v>737</v>
      </c>
      <c r="H370" s="1355"/>
      <c r="I370" s="1355">
        <v>724</v>
      </c>
      <c r="J370" s="1231">
        <v>724</v>
      </c>
      <c r="L370" s="1331" t="s">
        <v>101</v>
      </c>
      <c r="M370" s="494" t="s">
        <v>17</v>
      </c>
      <c r="N370" s="495">
        <v>4076</v>
      </c>
      <c r="O370" s="494">
        <v>783</v>
      </c>
      <c r="P370" s="494" t="s">
        <v>205</v>
      </c>
      <c r="Q370" s="496">
        <v>0.13</v>
      </c>
      <c r="S370" s="1331" t="s">
        <v>101</v>
      </c>
      <c r="T370" s="494" t="s">
        <v>17</v>
      </c>
      <c r="U370" s="495">
        <v>5394</v>
      </c>
      <c r="V370" s="494">
        <v>791</v>
      </c>
      <c r="W370" s="494" t="s">
        <v>200</v>
      </c>
      <c r="X370" s="496">
        <v>0.12</v>
      </c>
      <c r="AC370" s="1047"/>
    </row>
    <row r="371" spans="1:29" ht="15" thickBot="1">
      <c r="A371" s="786"/>
      <c r="C371" s="1582"/>
      <c r="D371" s="500" t="s">
        <v>889</v>
      </c>
      <c r="E371" s="1231">
        <v>783</v>
      </c>
      <c r="F371" s="1355"/>
      <c r="G371" s="1231">
        <v>635</v>
      </c>
      <c r="H371" s="1355"/>
      <c r="I371" s="1355">
        <v>660</v>
      </c>
      <c r="J371" s="1231">
        <v>660</v>
      </c>
      <c r="L371" s="1331" t="s">
        <v>101</v>
      </c>
      <c r="M371" s="494" t="s">
        <v>18</v>
      </c>
      <c r="N371" s="494">
        <v>22</v>
      </c>
      <c r="O371" s="494">
        <v>635</v>
      </c>
      <c r="P371" s="494" t="s">
        <v>206</v>
      </c>
      <c r="Q371" s="496">
        <v>0.16</v>
      </c>
      <c r="S371" s="1331" t="s">
        <v>101</v>
      </c>
      <c r="T371" s="494" t="s">
        <v>18</v>
      </c>
      <c r="U371" s="494">
        <v>644</v>
      </c>
      <c r="V371" s="494">
        <v>737</v>
      </c>
      <c r="W371" s="494" t="s">
        <v>201</v>
      </c>
      <c r="X371" s="496">
        <v>0.11</v>
      </c>
      <c r="AC371" s="1047"/>
    </row>
    <row r="372" spans="1:29" ht="15" thickBot="1">
      <c r="A372" s="786"/>
      <c r="C372" s="1582"/>
      <c r="D372" s="500" t="s">
        <v>496</v>
      </c>
      <c r="E372" s="1231">
        <v>454</v>
      </c>
      <c r="F372" s="1355"/>
      <c r="G372" s="1231">
        <v>390</v>
      </c>
      <c r="H372" s="1355"/>
      <c r="I372" s="1355">
        <v>420</v>
      </c>
      <c r="J372" s="1231">
        <v>420</v>
      </c>
      <c r="L372" s="1331" t="s">
        <v>101</v>
      </c>
      <c r="M372" s="494" t="s">
        <v>4</v>
      </c>
      <c r="N372" s="495">
        <v>7915</v>
      </c>
      <c r="O372" s="494">
        <v>660</v>
      </c>
      <c r="P372" s="494" t="s">
        <v>207</v>
      </c>
      <c r="Q372" s="496">
        <v>0.18</v>
      </c>
      <c r="S372" s="1331" t="s">
        <v>101</v>
      </c>
      <c r="T372" s="494" t="s">
        <v>4</v>
      </c>
      <c r="U372" s="495">
        <v>19704</v>
      </c>
      <c r="V372" s="494">
        <v>724</v>
      </c>
      <c r="W372" s="494" t="s">
        <v>202</v>
      </c>
      <c r="X372" s="496">
        <v>0.13</v>
      </c>
      <c r="AC372" s="1047"/>
    </row>
    <row r="373" spans="1:29" ht="15" thickBot="1">
      <c r="A373" s="786"/>
      <c r="C373" s="1582"/>
      <c r="D373" s="1128" t="s">
        <v>895</v>
      </c>
      <c r="E373" s="1232">
        <f>'Statewide PGE REF NTG'!O20</f>
        <v>889</v>
      </c>
      <c r="F373" s="1232"/>
      <c r="G373" s="1232">
        <f>'Statewide SCE REF NTG'!O20</f>
        <v>737</v>
      </c>
      <c r="H373" s="1232"/>
      <c r="I373" s="1232">
        <f>'Statewide SDGE REF NTG'!N20</f>
        <v>75.656474204663084</v>
      </c>
      <c r="J373" s="1232">
        <f>'Statewide SDGE REF NTG'!O20</f>
        <v>760.4</v>
      </c>
      <c r="L373" s="1331" t="s">
        <v>101</v>
      </c>
      <c r="M373" s="494" t="s">
        <v>161</v>
      </c>
      <c r="N373" s="495">
        <v>12013</v>
      </c>
      <c r="O373" s="494">
        <v>705</v>
      </c>
      <c r="P373" s="494" t="s">
        <v>208</v>
      </c>
      <c r="Q373" s="496">
        <v>0.16</v>
      </c>
      <c r="S373" s="1331" t="s">
        <v>101</v>
      </c>
      <c r="T373" s="494" t="s">
        <v>161</v>
      </c>
      <c r="U373" s="495">
        <v>25742</v>
      </c>
      <c r="V373" s="494">
        <v>725</v>
      </c>
      <c r="W373" s="494" t="s">
        <v>203</v>
      </c>
      <c r="X373" s="496">
        <v>0.13</v>
      </c>
      <c r="AC373" s="1047"/>
    </row>
    <row r="374" spans="1:29" ht="15" thickBot="1">
      <c r="A374" s="786"/>
      <c r="C374" s="1582"/>
      <c r="D374" s="500" t="s">
        <v>890</v>
      </c>
      <c r="E374" s="1378">
        <v>452</v>
      </c>
      <c r="F374" s="1379"/>
      <c r="G374" s="1379"/>
      <c r="H374" s="1379"/>
      <c r="I374" s="1380"/>
      <c r="J374" s="1380"/>
      <c r="L374" s="1330" t="s">
        <v>25</v>
      </c>
      <c r="M374" s="494" t="s">
        <v>17</v>
      </c>
      <c r="N374" s="494">
        <v>233</v>
      </c>
      <c r="O374" s="494">
        <v>869</v>
      </c>
      <c r="P374" s="494" t="s">
        <v>308</v>
      </c>
      <c r="Q374" s="496">
        <v>0.19</v>
      </c>
      <c r="S374" s="1330" t="s">
        <v>25</v>
      </c>
      <c r="T374" s="494" t="s">
        <v>17</v>
      </c>
      <c r="U374" s="494">
        <v>409</v>
      </c>
      <c r="V374" s="494">
        <v>890</v>
      </c>
      <c r="W374" s="494" t="s">
        <v>304</v>
      </c>
      <c r="X374" s="496">
        <v>0.16</v>
      </c>
      <c r="AC374" s="1047"/>
    </row>
    <row r="375" spans="1:29" ht="15" thickBot="1">
      <c r="A375" s="786"/>
      <c r="C375" s="1381"/>
      <c r="D375" s="1382"/>
      <c r="E375" s="1382"/>
      <c r="F375" s="1382"/>
      <c r="G375" s="1382"/>
      <c r="H375" s="1382"/>
      <c r="I375" s="1383"/>
      <c r="J375" s="1383"/>
      <c r="L375" s="1330" t="s">
        <v>25</v>
      </c>
      <c r="M375" s="494" t="s">
        <v>18</v>
      </c>
      <c r="N375" s="494">
        <v>1</v>
      </c>
      <c r="O375" s="494">
        <v>716</v>
      </c>
      <c r="P375" s="494" t="s">
        <v>209</v>
      </c>
      <c r="Q375" s="496">
        <v>0.26</v>
      </c>
      <c r="S375" s="1330" t="s">
        <v>25</v>
      </c>
      <c r="T375" s="494" t="s">
        <v>18</v>
      </c>
      <c r="U375" s="495">
        <v>1025</v>
      </c>
      <c r="V375" s="494">
        <v>791</v>
      </c>
      <c r="W375" s="494" t="s">
        <v>305</v>
      </c>
      <c r="X375" s="496">
        <v>0.18</v>
      </c>
      <c r="AC375" s="1047"/>
    </row>
    <row r="376" spans="1:29" ht="15" thickBot="1">
      <c r="A376" s="786"/>
      <c r="C376" s="1628" t="s">
        <v>891</v>
      </c>
      <c r="D376" s="500" t="s">
        <v>887</v>
      </c>
      <c r="E376" s="1378">
        <v>0</v>
      </c>
      <c r="F376" s="1379"/>
      <c r="G376" s="1379"/>
      <c r="H376" s="1379"/>
      <c r="I376" s="1380"/>
      <c r="J376" s="1380"/>
      <c r="L376" s="1330" t="s">
        <v>25</v>
      </c>
      <c r="M376" s="494" t="s">
        <v>4</v>
      </c>
      <c r="N376" s="494">
        <v>576</v>
      </c>
      <c r="O376" s="494">
        <v>693</v>
      </c>
      <c r="P376" s="494" t="s">
        <v>309</v>
      </c>
      <c r="Q376" s="496">
        <v>0.27</v>
      </c>
      <c r="S376" s="1330" t="s">
        <v>25</v>
      </c>
      <c r="T376" s="494" t="s">
        <v>4</v>
      </c>
      <c r="U376" s="495">
        <v>1725</v>
      </c>
      <c r="V376" s="494">
        <v>750</v>
      </c>
      <c r="W376" s="494" t="s">
        <v>306</v>
      </c>
      <c r="X376" s="496">
        <v>0.2</v>
      </c>
      <c r="AC376" s="1047"/>
    </row>
    <row r="377" spans="1:29" ht="15" thickBot="1">
      <c r="A377" s="786"/>
      <c r="C377" s="1628"/>
      <c r="D377" s="500" t="s">
        <v>892</v>
      </c>
      <c r="E377" s="1378">
        <v>782</v>
      </c>
      <c r="F377" s="1379"/>
      <c r="G377" s="1379"/>
      <c r="H377" s="1379"/>
      <c r="I377" s="1380"/>
      <c r="J377" s="1380"/>
      <c r="L377" s="1330" t="s">
        <v>25</v>
      </c>
      <c r="M377" s="494" t="s">
        <v>161</v>
      </c>
      <c r="N377" s="494">
        <v>810</v>
      </c>
      <c r="O377" s="494">
        <v>744</v>
      </c>
      <c r="P377" s="494" t="s">
        <v>310</v>
      </c>
      <c r="Q377" s="496">
        <v>0.24</v>
      </c>
      <c r="S377" s="1330" t="s">
        <v>25</v>
      </c>
      <c r="T377" s="494" t="s">
        <v>161</v>
      </c>
      <c r="U377" s="495">
        <v>3159</v>
      </c>
      <c r="V377" s="494">
        <v>782</v>
      </c>
      <c r="W377" s="494" t="s">
        <v>307</v>
      </c>
      <c r="X377" s="496">
        <v>0.18</v>
      </c>
      <c r="AC377" s="1047"/>
    </row>
    <row r="378" spans="1:29">
      <c r="A378" s="786"/>
      <c r="C378" s="1628"/>
      <c r="D378" s="500" t="s">
        <v>893</v>
      </c>
      <c r="E378" s="1378">
        <v>744</v>
      </c>
      <c r="F378" s="1379"/>
      <c r="G378" s="1379"/>
      <c r="H378" s="1379"/>
      <c r="I378" s="1380"/>
      <c r="J378" s="1380"/>
      <c r="AC378" s="1047"/>
    </row>
    <row r="379" spans="1:29">
      <c r="A379" s="786"/>
      <c r="C379" s="1628"/>
      <c r="D379" s="500" t="s">
        <v>496</v>
      </c>
      <c r="E379" s="1378">
        <v>393</v>
      </c>
      <c r="F379" s="1379"/>
      <c r="G379" s="1379"/>
      <c r="H379" s="1379"/>
      <c r="I379" s="1380"/>
      <c r="J379" s="1380"/>
      <c r="AC379" s="1047"/>
    </row>
    <row r="380" spans="1:29">
      <c r="A380" s="786"/>
      <c r="C380" s="1628"/>
      <c r="D380" s="500" t="s">
        <v>894</v>
      </c>
      <c r="E380" s="1378">
        <v>443</v>
      </c>
      <c r="F380" s="1379"/>
      <c r="G380" s="1379"/>
      <c r="H380" s="1379"/>
      <c r="I380" s="1380"/>
      <c r="J380" s="1380"/>
      <c r="AC380" s="1047"/>
    </row>
    <row r="381" spans="1:29" ht="38.25" customHeight="1">
      <c r="A381" s="786"/>
      <c r="C381" s="1626" t="s">
        <v>896</v>
      </c>
      <c r="D381" s="1626"/>
      <c r="E381" s="1626"/>
      <c r="F381" s="1626"/>
      <c r="G381" s="1626"/>
      <c r="Z381" s="1047"/>
    </row>
    <row r="382" spans="1:29" ht="22.5" customHeight="1">
      <c r="A382" s="786"/>
      <c r="C382" s="1627" t="s">
        <v>897</v>
      </c>
      <c r="D382" s="1627"/>
      <c r="E382" s="1627"/>
      <c r="F382" s="1627"/>
      <c r="G382" s="1627"/>
      <c r="Z382" s="1047"/>
    </row>
    <row r="383" spans="1:29">
      <c r="A383" s="786"/>
      <c r="Z383" s="1047"/>
    </row>
    <row r="384" spans="1:29">
      <c r="A384" s="786"/>
      <c r="C384" s="532" t="s">
        <v>898</v>
      </c>
      <c r="Z384" s="1047"/>
    </row>
    <row r="385" spans="1:26">
      <c r="A385" s="786"/>
      <c r="C385" s="916" t="s">
        <v>879</v>
      </c>
      <c r="Z385" s="1047"/>
    </row>
    <row r="386" spans="1:26">
      <c r="A386" s="786"/>
      <c r="Z386" s="1047"/>
    </row>
    <row r="387" spans="1:26">
      <c r="A387" s="786"/>
      <c r="C387" s="822" t="s">
        <v>899</v>
      </c>
      <c r="Z387" s="1047"/>
    </row>
    <row r="388" spans="1:26" ht="38.25" customHeight="1">
      <c r="A388" s="786"/>
      <c r="C388" s="1619" t="s">
        <v>519</v>
      </c>
      <c r="D388" s="1619"/>
      <c r="E388" s="1619"/>
      <c r="F388" s="1619"/>
      <c r="G388" s="1619"/>
      <c r="H388" s="1619"/>
      <c r="I388" s="1606" t="s">
        <v>904</v>
      </c>
      <c r="J388" s="1608" t="s">
        <v>900</v>
      </c>
      <c r="K388" s="1608"/>
      <c r="L388" s="1608"/>
      <c r="M388" s="1608" t="s">
        <v>901</v>
      </c>
      <c r="N388" s="1608"/>
      <c r="O388" s="1608"/>
      <c r="P388" s="1617" t="s">
        <v>531</v>
      </c>
      <c r="Z388" s="1047"/>
    </row>
    <row r="389" spans="1:26">
      <c r="A389" s="786"/>
      <c r="C389" s="1619"/>
      <c r="D389" s="1619"/>
      <c r="E389" s="1619"/>
      <c r="F389" s="1619"/>
      <c r="G389" s="1619"/>
      <c r="H389" s="1619"/>
      <c r="I389" s="1607"/>
      <c r="J389" s="1172" t="s">
        <v>905</v>
      </c>
      <c r="K389" s="1172" t="s">
        <v>857</v>
      </c>
      <c r="L389" s="1172" t="s">
        <v>902</v>
      </c>
      <c r="M389" s="1172" t="s">
        <v>905</v>
      </c>
      <c r="N389" s="1172" t="s">
        <v>857</v>
      </c>
      <c r="O389" s="1172" t="s">
        <v>902</v>
      </c>
      <c r="P389" s="1618"/>
      <c r="Z389" s="1047"/>
    </row>
    <row r="390" spans="1:26" ht="15" customHeight="1">
      <c r="A390" s="786"/>
      <c r="C390" s="1619"/>
      <c r="D390" s="1619"/>
      <c r="E390" s="1619"/>
      <c r="F390" s="1619"/>
      <c r="G390" s="1619"/>
      <c r="H390" s="1619"/>
      <c r="I390" s="1233" t="s">
        <v>520</v>
      </c>
      <c r="J390" s="1237" t="s">
        <v>521</v>
      </c>
      <c r="K390" s="1237" t="s">
        <v>522</v>
      </c>
      <c r="L390" s="1237" t="s">
        <v>523</v>
      </c>
      <c r="M390" s="1237" t="s">
        <v>524</v>
      </c>
      <c r="N390" s="1237" t="s">
        <v>525</v>
      </c>
      <c r="O390" s="1237" t="s">
        <v>526</v>
      </c>
      <c r="P390" s="1237" t="s">
        <v>903</v>
      </c>
      <c r="Z390" s="1047"/>
    </row>
    <row r="391" spans="1:26">
      <c r="A391" s="786"/>
      <c r="C391" s="1575" t="s">
        <v>267</v>
      </c>
      <c r="D391" s="1575"/>
      <c r="E391" s="1575"/>
      <c r="F391" s="1575"/>
      <c r="G391" s="1575"/>
      <c r="H391" s="1575"/>
      <c r="I391" s="1318">
        <f>'Statewide Ref Dispostion'!AN$8</f>
        <v>0.136803497976</v>
      </c>
      <c r="J391" s="1146">
        <f>'Statewide PGE REF NTG'!I14</f>
        <v>1035.9927015759845</v>
      </c>
      <c r="K391" s="1118">
        <f>'Statewide PGE REF NTG'!K14</f>
        <v>0.90680879999999997</v>
      </c>
      <c r="L391" s="1146">
        <f>'Statewide PGE REF NTG'!M14</f>
        <v>939.4472985248766</v>
      </c>
      <c r="M391" s="1146">
        <f>'Statewide PGE REF NTG'!O14</f>
        <v>1035.9927015759845</v>
      </c>
      <c r="N391" s="1118">
        <f>'Statewide PGE REF NTG'!Q14</f>
        <v>0</v>
      </c>
      <c r="O391" s="1146">
        <f>'Statewide PGE REF NTG'!S14</f>
        <v>0</v>
      </c>
      <c r="P391" s="1146">
        <f>'Statewide PGE REF NTG'!U14</f>
        <v>939.4472985248766</v>
      </c>
      <c r="Z391" s="1047"/>
    </row>
    <row r="392" spans="1:26">
      <c r="A392" s="786"/>
      <c r="C392" s="1575" t="s">
        <v>268</v>
      </c>
      <c r="D392" s="1575"/>
      <c r="E392" s="1575"/>
      <c r="F392" s="1575"/>
      <c r="G392" s="1575"/>
      <c r="H392" s="1575"/>
      <c r="I392" s="1318">
        <f>'Statewide Ref Dispostion'!AN$9</f>
        <v>2.3024502023999999E-2</v>
      </c>
      <c r="J392" s="1146">
        <f>'Statewide PGE REF NTG'!I15</f>
        <v>1035.9927015759845</v>
      </c>
      <c r="K392" s="1118">
        <f>'Statewide PGE REF NTG'!K15</f>
        <v>0</v>
      </c>
      <c r="L392" s="1146">
        <f>'Statewide PGE REF NTG'!M15</f>
        <v>0</v>
      </c>
      <c r="M392" s="1146">
        <f>'Statewide PGE REF NTG'!O15</f>
        <v>1035.9927015759845</v>
      </c>
      <c r="N392" s="1118">
        <f>'Statewide PGE REF NTG'!Q15</f>
        <v>0</v>
      </c>
      <c r="O392" s="1146">
        <f>'Statewide PGE REF NTG'!S15</f>
        <v>0</v>
      </c>
      <c r="P392" s="1146">
        <f>'Statewide PGE REF NTG'!U15</f>
        <v>0</v>
      </c>
      <c r="Z392" s="1047"/>
    </row>
    <row r="393" spans="1:26">
      <c r="A393" s="786"/>
      <c r="C393" s="1583" t="s">
        <v>340</v>
      </c>
      <c r="D393" s="1602" t="s">
        <v>133</v>
      </c>
      <c r="E393" s="1603"/>
      <c r="F393" s="1603"/>
      <c r="G393" s="1603"/>
      <c r="H393" s="1604"/>
      <c r="I393" s="1318">
        <f>'Statewide Ref Dispostion'!AN$10</f>
        <v>0.18151916060000001</v>
      </c>
      <c r="J393" s="1146">
        <f>'Statewide PGE REF NTG'!I16</f>
        <v>1035.9927015759843</v>
      </c>
      <c r="K393" s="1118">
        <f>'Statewide PGE REF NTG'!K16</f>
        <v>0.98178700853973866</v>
      </c>
      <c r="L393" s="1146">
        <f>'Statewide PGE REF NTG'!M16</f>
        <v>1017.1241753492877</v>
      </c>
      <c r="M393" s="1146">
        <f>'Statewide PGE REF NTG'!O16</f>
        <v>457</v>
      </c>
      <c r="N393" s="1118">
        <f>'Statewide PGE REF NTG'!Q16</f>
        <v>0.98178700853973866</v>
      </c>
      <c r="O393" s="1146">
        <f>'Statewide PGE REF NTG'!S16</f>
        <v>454</v>
      </c>
      <c r="P393" s="1146">
        <f>'Statewide PGE REF NTG'!U16</f>
        <v>563.12417534928773</v>
      </c>
      <c r="Z393" s="1047"/>
    </row>
    <row r="394" spans="1:26">
      <c r="A394" s="786"/>
      <c r="C394" s="1583"/>
      <c r="D394" s="1592" t="s">
        <v>341</v>
      </c>
      <c r="E394" s="1592" t="s">
        <v>342</v>
      </c>
      <c r="F394" s="1575" t="s">
        <v>344</v>
      </c>
      <c r="G394" s="1575"/>
      <c r="H394" s="1575"/>
      <c r="I394" s="1318">
        <f>'Statewide Ref Dispostion'!AN$11</f>
        <v>1.1642391561073492E-2</v>
      </c>
      <c r="J394" s="1146">
        <f>'Statewide PGE REF NTG'!I17</f>
        <v>1035.9927015759845</v>
      </c>
      <c r="K394" s="1118">
        <f>'Statewide PGE REF NTG'!K17</f>
        <v>1</v>
      </c>
      <c r="L394" s="1146">
        <f>'Statewide PGE REF NTG'!M17</f>
        <v>1035.9927015759845</v>
      </c>
      <c r="M394" s="1146">
        <f>'Statewide PGE REF NTG'!O17</f>
        <v>791</v>
      </c>
      <c r="N394" s="1118">
        <f>'Statewide PGE REF NTG'!Q17</f>
        <v>1</v>
      </c>
      <c r="O394" s="1146">
        <f>'Statewide PGE REF NTG'!S17</f>
        <v>791</v>
      </c>
      <c r="P394" s="1146">
        <f>'Statewide PGE REF NTG'!U17</f>
        <v>244.99270157598448</v>
      </c>
      <c r="Z394" s="1047"/>
    </row>
    <row r="395" spans="1:26">
      <c r="A395" s="786"/>
      <c r="C395" s="1583"/>
      <c r="D395" s="1593"/>
      <c r="E395" s="1593"/>
      <c r="F395" s="1575" t="s">
        <v>345</v>
      </c>
      <c r="G395" s="1575"/>
      <c r="H395" s="1575"/>
      <c r="I395" s="1318">
        <f>'Statewide Ref Dispostion'!AN$12</f>
        <v>9.9035037548185934E-2</v>
      </c>
      <c r="J395" s="1146">
        <f>'Statewide PGE REF NTG'!I18</f>
        <v>1035.9927015759845</v>
      </c>
      <c r="K395" s="1118">
        <f>'Statewide PGE REF NTG'!K18</f>
        <v>1</v>
      </c>
      <c r="L395" s="1146">
        <f>'Statewide PGE REF NTG'!M18</f>
        <v>1035.9927015759845</v>
      </c>
      <c r="M395" s="1146">
        <f>'Statewide PGE REF NTG'!O18</f>
        <v>783</v>
      </c>
      <c r="N395" s="1118">
        <f>'Statewide PGE REF NTG'!Q18</f>
        <v>1</v>
      </c>
      <c r="O395" s="1146">
        <f>'Statewide PGE REF NTG'!S18</f>
        <v>783</v>
      </c>
      <c r="P395" s="1146">
        <f>'Statewide PGE REF NTG'!U18</f>
        <v>252.99270157598448</v>
      </c>
      <c r="Z395" s="1047"/>
    </row>
    <row r="396" spans="1:26">
      <c r="A396" s="786"/>
      <c r="C396" s="1583"/>
      <c r="D396" s="1593"/>
      <c r="E396" s="1593"/>
      <c r="F396" s="1575" t="s">
        <v>346</v>
      </c>
      <c r="G396" s="1575"/>
      <c r="H396" s="1575"/>
      <c r="I396" s="1318">
        <f>'Statewide Ref Dispostion'!AN$13</f>
        <v>8.4221478298931493E-2</v>
      </c>
      <c r="J396" s="1146">
        <f>'Statewide PGE REF NTG'!I19</f>
        <v>1035.9927015759845</v>
      </c>
      <c r="K396" s="1118">
        <f>'Statewide PGE REF NTG'!K19</f>
        <v>1</v>
      </c>
      <c r="L396" s="1146">
        <f>'Statewide PGE REF NTG'!M19</f>
        <v>1035.9927015759845</v>
      </c>
      <c r="M396" s="1146">
        <f>'Statewide PGE REF NTG'!O19</f>
        <v>452</v>
      </c>
      <c r="N396" s="1118">
        <f>'Statewide PGE REF NTG'!Q19</f>
        <v>1</v>
      </c>
      <c r="O396" s="1146">
        <f>'Statewide PGE REF NTG'!S19</f>
        <v>452</v>
      </c>
      <c r="P396" s="1146">
        <f>'Statewide PGE REF NTG'!U19</f>
        <v>583.99270157598448</v>
      </c>
      <c r="Z396" s="1047"/>
    </row>
    <row r="397" spans="1:26">
      <c r="A397" s="786"/>
      <c r="C397" s="1583"/>
      <c r="D397" s="1593"/>
      <c r="E397" s="1593"/>
      <c r="F397" s="1605" t="s">
        <v>494</v>
      </c>
      <c r="G397" s="1605"/>
      <c r="H397" s="774" t="s">
        <v>509</v>
      </c>
      <c r="I397" s="1318">
        <f>'Statewide Ref Dispostion'!AN$14</f>
        <v>5.1842432725117987E-2</v>
      </c>
      <c r="J397" s="1146">
        <f>'Statewide PGE REF NTG'!I20</f>
        <v>1035.9927015759845</v>
      </c>
      <c r="K397" s="1118">
        <f>'Statewide PGE REF NTG'!K20</f>
        <v>1</v>
      </c>
      <c r="L397" s="1146">
        <f>'Statewide PGE REF NTG'!M20</f>
        <v>1035.9927015759845</v>
      </c>
      <c r="M397" s="1146">
        <f>'Statewide PGE REF NTG'!O20</f>
        <v>889</v>
      </c>
      <c r="N397" s="1118">
        <f>'Statewide PGE REF NTG'!Q20</f>
        <v>1</v>
      </c>
      <c r="O397" s="1146">
        <f>'Statewide PGE REF NTG'!S20</f>
        <v>889</v>
      </c>
      <c r="P397" s="1146">
        <f>'Statewide PGE REF NTG'!U20</f>
        <v>146.99270157598448</v>
      </c>
      <c r="Z397" s="1047"/>
    </row>
    <row r="398" spans="1:26">
      <c r="A398" s="786"/>
      <c r="C398" s="1583"/>
      <c r="D398" s="1593"/>
      <c r="E398" s="1594"/>
      <c r="F398" s="1605"/>
      <c r="G398" s="1605"/>
      <c r="H398" s="774" t="s">
        <v>511</v>
      </c>
      <c r="I398" s="1318">
        <f>'Statewide Ref Dispostion'!AN$15</f>
        <v>1.4023771042849197E-2</v>
      </c>
      <c r="J398" s="1146">
        <f>'Statewide PGE REF NTG'!I21</f>
        <v>1035.9927015759845</v>
      </c>
      <c r="K398" s="1118">
        <f>'Statewide PGE REF NTG'!K21</f>
        <v>0.90680879999999997</v>
      </c>
      <c r="L398" s="1146">
        <f>'Statewide PGE REF NTG'!M21</f>
        <v>939.4472985248766</v>
      </c>
      <c r="M398" s="1146">
        <f>'Statewide PGE REF NTG'!O21</f>
        <v>0</v>
      </c>
      <c r="N398" s="1118">
        <f>'Statewide PGE REF NTG'!Q21</f>
        <v>0.90680879999999997</v>
      </c>
      <c r="O398" s="1146">
        <f>'Statewide PGE REF NTG'!S21</f>
        <v>0</v>
      </c>
      <c r="P398" s="1146">
        <f>'Statewide PGE REF NTG'!U21</f>
        <v>939.4472985248766</v>
      </c>
      <c r="Z398" s="1047"/>
    </row>
    <row r="399" spans="1:26">
      <c r="A399" s="786"/>
      <c r="C399" s="1583"/>
      <c r="D399" s="1593"/>
      <c r="E399" s="1592" t="s">
        <v>343</v>
      </c>
      <c r="F399" s="1575" t="s">
        <v>344</v>
      </c>
      <c r="G399" s="1575"/>
      <c r="H399" s="1575"/>
      <c r="I399" s="1318">
        <f>'Statewide Ref Dispostion'!AN$16</f>
        <v>4.3865910057667235E-3</v>
      </c>
      <c r="J399" s="1146">
        <f>'Statewide PGE REF NTG'!I22</f>
        <v>1035.9927015759845</v>
      </c>
      <c r="K399" s="1118">
        <f>'Statewide PGE REF NTG'!K22</f>
        <v>0.90680879999999997</v>
      </c>
      <c r="L399" s="1146">
        <f>'Statewide PGE REF NTG'!M22</f>
        <v>939.4472985248766</v>
      </c>
      <c r="M399" s="1146">
        <f>'Statewide PGE REF NTG'!O22</f>
        <v>791</v>
      </c>
      <c r="N399" s="1118">
        <f>'Statewide PGE REF NTG'!Q22</f>
        <v>0.90680879999999997</v>
      </c>
      <c r="O399" s="1146">
        <f>'Statewide PGE REF NTG'!S22</f>
        <v>717.28576079999993</v>
      </c>
      <c r="P399" s="1146">
        <f>'Statewide PGE REF NTG'!U22</f>
        <v>222.16153772487667</v>
      </c>
      <c r="Z399" s="1047"/>
    </row>
    <row r="400" spans="1:26">
      <c r="A400" s="786"/>
      <c r="C400" s="1583"/>
      <c r="D400" s="1593"/>
      <c r="E400" s="1593"/>
      <c r="F400" s="1575" t="s">
        <v>345</v>
      </c>
      <c r="G400" s="1575"/>
      <c r="H400" s="1575"/>
      <c r="I400" s="1318">
        <f>'Statewide Ref Dispostion'!AN$17</f>
        <v>2.0012557038668416E-2</v>
      </c>
      <c r="J400" s="1146">
        <f>'Statewide PGE REF NTG'!I23</f>
        <v>1035.9927015759845</v>
      </c>
      <c r="K400" s="1118">
        <f>'Statewide PGE REF NTG'!K23</f>
        <v>0.90680879999999997</v>
      </c>
      <c r="L400" s="1146">
        <f>'Statewide PGE REF NTG'!M23</f>
        <v>939.4472985248766</v>
      </c>
      <c r="M400" s="1146">
        <f>'Statewide PGE REF NTG'!O23</f>
        <v>783</v>
      </c>
      <c r="N400" s="1118">
        <f>'Statewide PGE REF NTG'!Q23</f>
        <v>0.90680879999999997</v>
      </c>
      <c r="O400" s="1146">
        <f>'Statewide PGE REF NTG'!S23</f>
        <v>710.03129039999999</v>
      </c>
      <c r="P400" s="1146">
        <f>'Statewide PGE REF NTG'!U23</f>
        <v>229.41600812487661</v>
      </c>
      <c r="Z400" s="1047"/>
    </row>
    <row r="401" spans="1:26">
      <c r="A401" s="786"/>
      <c r="C401" s="1583"/>
      <c r="D401" s="1593"/>
      <c r="E401" s="1593"/>
      <c r="F401" s="1575" t="s">
        <v>346</v>
      </c>
      <c r="G401" s="1575"/>
      <c r="H401" s="1575"/>
      <c r="I401" s="1318">
        <f>'Statewide Ref Dispostion'!AN$18</f>
        <v>1.2032597130769086E-2</v>
      </c>
      <c r="J401" s="1146">
        <f>'Statewide PGE REF NTG'!I24</f>
        <v>1035.9927015759845</v>
      </c>
      <c r="K401" s="1118">
        <f>'Statewide PGE REF NTG'!K24</f>
        <v>0.90680879999999997</v>
      </c>
      <c r="L401" s="1146">
        <f>'Statewide PGE REF NTG'!M24</f>
        <v>939.4472985248766</v>
      </c>
      <c r="M401" s="1146">
        <f>'Statewide PGE REF NTG'!O24</f>
        <v>452</v>
      </c>
      <c r="N401" s="1118">
        <f>'Statewide PGE REF NTG'!Q24</f>
        <v>0.90680879999999997</v>
      </c>
      <c r="O401" s="1146">
        <f>'Statewide PGE REF NTG'!S24</f>
        <v>409.8775776</v>
      </c>
      <c r="P401" s="1146">
        <f>'Statewide PGE REF NTG'!U24</f>
        <v>529.56972092487661</v>
      </c>
      <c r="Z401" s="1047"/>
    </row>
    <row r="402" spans="1:26">
      <c r="A402" s="786"/>
      <c r="C402" s="1583"/>
      <c r="D402" s="1594"/>
      <c r="E402" s="1594"/>
      <c r="F402" s="1575" t="s">
        <v>347</v>
      </c>
      <c r="G402" s="1575"/>
      <c r="H402" s="1575"/>
      <c r="I402" s="1318">
        <f>'Statewide Ref Dispostion'!AN$19</f>
        <v>3.6340924882971623E-2</v>
      </c>
      <c r="J402" s="1146">
        <f>'Statewide PGE REF NTG'!I25</f>
        <v>1035.9927015759845</v>
      </c>
      <c r="K402" s="1118">
        <f>'Statewide PGE REF NTG'!K25</f>
        <v>0.90680879999999997</v>
      </c>
      <c r="L402" s="1146">
        <f>'Statewide PGE REF NTG'!M25</f>
        <v>939.4472985248766</v>
      </c>
      <c r="M402" s="1146">
        <f>'Statewide PGE REF NTG'!O25</f>
        <v>0</v>
      </c>
      <c r="N402" s="1118">
        <f>'Statewide PGE REF NTG'!Q25</f>
        <v>0.90680879999999997</v>
      </c>
      <c r="O402" s="1146">
        <f>'Statewide PGE REF NTG'!S25</f>
        <v>0</v>
      </c>
      <c r="P402" s="1146">
        <f>'Statewide PGE REF NTG'!U25</f>
        <v>939.4472985248766</v>
      </c>
      <c r="Z402" s="1047"/>
    </row>
    <row r="403" spans="1:26">
      <c r="A403" s="786"/>
      <c r="C403" s="1583"/>
      <c r="D403" s="1592" t="s">
        <v>88</v>
      </c>
      <c r="E403" s="1583" t="s">
        <v>348</v>
      </c>
      <c r="F403" s="1592" t="s">
        <v>342</v>
      </c>
      <c r="G403" s="1584" t="s">
        <v>345</v>
      </c>
      <c r="H403" s="1586"/>
      <c r="I403" s="1318">
        <f>'Statewide Ref Dispostion'!AN$20</f>
        <v>7.4297916790629318E-2</v>
      </c>
      <c r="J403" s="1146">
        <f>'Statewide PGE REF NTG'!I26</f>
        <v>1035.9927015759845</v>
      </c>
      <c r="K403" s="1118">
        <f>'Statewide PGE REF NTG'!K26</f>
        <v>1</v>
      </c>
      <c r="L403" s="1146">
        <f>'Statewide PGE REF NTG'!M26</f>
        <v>1035.9927015759845</v>
      </c>
      <c r="M403" s="1146">
        <f>'Statewide PGE REF NTG'!O26</f>
        <v>783</v>
      </c>
      <c r="N403" s="1118">
        <f>'Statewide PGE REF NTG'!Q26</f>
        <v>1</v>
      </c>
      <c r="O403" s="1146">
        <f>'Statewide PGE REF NTG'!S26</f>
        <v>783</v>
      </c>
      <c r="P403" s="1146">
        <f>'Statewide PGE REF NTG'!U26</f>
        <v>252.99270157598448</v>
      </c>
      <c r="Z403" s="1047"/>
    </row>
    <row r="404" spans="1:26">
      <c r="A404" s="786"/>
      <c r="C404" s="1583"/>
      <c r="D404" s="1593"/>
      <c r="E404" s="1583"/>
      <c r="F404" s="1593"/>
      <c r="G404" s="1587" t="s">
        <v>346</v>
      </c>
      <c r="H404" s="1587"/>
      <c r="I404" s="1318">
        <f>'Statewide Ref Dispostion'!AN$21</f>
        <v>5.6951714683935721E-2</v>
      </c>
      <c r="J404" s="1146">
        <f>'Statewide PGE REF NTG'!I27</f>
        <v>1035.9927015759845</v>
      </c>
      <c r="K404" s="1118">
        <f>'Statewide PGE REF NTG'!K27</f>
        <v>1</v>
      </c>
      <c r="L404" s="1146">
        <f>'Statewide PGE REF NTG'!M27</f>
        <v>1035.9927015759845</v>
      </c>
      <c r="M404" s="1146">
        <f>'Statewide PGE REF NTG'!O27</f>
        <v>452</v>
      </c>
      <c r="N404" s="1118">
        <f>'Statewide PGE REF NTG'!Q27</f>
        <v>1</v>
      </c>
      <c r="O404" s="1146">
        <f>'Statewide PGE REF NTG'!S27</f>
        <v>452</v>
      </c>
      <c r="P404" s="1146">
        <f>'Statewide PGE REF NTG'!U27</f>
        <v>583.99270157598448</v>
      </c>
      <c r="Z404" s="1047"/>
    </row>
    <row r="405" spans="1:26">
      <c r="A405" s="786"/>
      <c r="C405" s="1583"/>
      <c r="D405" s="1593"/>
      <c r="E405" s="1583"/>
      <c r="F405" s="1593"/>
      <c r="G405" s="1595" t="s">
        <v>495</v>
      </c>
      <c r="H405" s="774" t="s">
        <v>509</v>
      </c>
      <c r="I405" s="1318">
        <f>'Statewide Ref Dispostion'!AN$22</f>
        <v>3.297520714939247E-2</v>
      </c>
      <c r="J405" s="1146">
        <f>'Statewide PGE REF NTG'!I28</f>
        <v>1035.9927015759845</v>
      </c>
      <c r="K405" s="1118">
        <f>'Statewide PGE REF NTG'!K28</f>
        <v>1</v>
      </c>
      <c r="L405" s="1146">
        <f>'Statewide PGE REF NTG'!M28</f>
        <v>1035.9927015759845</v>
      </c>
      <c r="M405" s="1146">
        <f>'Statewide PGE REF NTG'!O28</f>
        <v>889</v>
      </c>
      <c r="N405" s="1118">
        <f>'Statewide PGE REF NTG'!Q28</f>
        <v>1</v>
      </c>
      <c r="O405" s="1146">
        <f>'Statewide PGE REF NTG'!S28</f>
        <v>889</v>
      </c>
      <c r="P405" s="1146">
        <f>'Statewide PGE REF NTG'!U28</f>
        <v>146.99270157598448</v>
      </c>
      <c r="Z405" s="1047"/>
    </row>
    <row r="406" spans="1:26">
      <c r="A406" s="786"/>
      <c r="C406" s="1583"/>
      <c r="D406" s="1593"/>
      <c r="E406" s="1583"/>
      <c r="F406" s="1594"/>
      <c r="G406" s="1596"/>
      <c r="H406" s="774" t="s">
        <v>511</v>
      </c>
      <c r="I406" s="1318">
        <f>'Statewide Ref Dispostion'!AN$23</f>
        <v>2.8933750518450236E-3</v>
      </c>
      <c r="J406" s="1146">
        <f>'Statewide PGE REF NTG'!I29</f>
        <v>1035.9927015759845</v>
      </c>
      <c r="K406" s="1118">
        <f>'Statewide PGE REF NTG'!K29</f>
        <v>0.90680879999999997</v>
      </c>
      <c r="L406" s="1146">
        <f>'Statewide PGE REF NTG'!M29</f>
        <v>939.4472985248766</v>
      </c>
      <c r="M406" s="1146">
        <f>'Statewide PGE REF NTG'!O29</f>
        <v>0</v>
      </c>
      <c r="N406" s="1118">
        <f>'Statewide PGE REF NTG'!Q29</f>
        <v>1</v>
      </c>
      <c r="O406" s="1146">
        <f>'Statewide PGE REF NTG'!S29</f>
        <v>0</v>
      </c>
      <c r="P406" s="1146">
        <f>'Statewide PGE REF NTG'!U29</f>
        <v>939.4472985248766</v>
      </c>
      <c r="Z406" s="1047"/>
    </row>
    <row r="407" spans="1:26">
      <c r="A407" s="786"/>
      <c r="C407" s="1583"/>
      <c r="D407" s="1593"/>
      <c r="E407" s="1583"/>
      <c r="F407" s="1597" t="s">
        <v>343</v>
      </c>
      <c r="G407" s="1600" t="s">
        <v>345</v>
      </c>
      <c r="H407" s="1601"/>
      <c r="I407" s="1318">
        <f>'Statewide Ref Dispostion'!AN$24</f>
        <v>9.318003797670742E-3</v>
      </c>
      <c r="J407" s="1146">
        <f>'Statewide PGE REF NTG'!I30</f>
        <v>1035.9927015759845</v>
      </c>
      <c r="K407" s="1118">
        <f>'Statewide PGE REF NTG'!K30</f>
        <v>0.90680879999999997</v>
      </c>
      <c r="L407" s="1146">
        <f>'Statewide PGE REF NTG'!M30</f>
        <v>939.4472985248766</v>
      </c>
      <c r="M407" s="1146">
        <f>'Statewide PGE REF NTG'!O30</f>
        <v>783</v>
      </c>
      <c r="N407" s="1118">
        <f>'Statewide PGE REF NTG'!Q30</f>
        <v>0.90680879999999997</v>
      </c>
      <c r="O407" s="1146">
        <f>'Statewide PGE REF NTG'!S30</f>
        <v>710.03129039999999</v>
      </c>
      <c r="P407" s="1146">
        <f>'Statewide PGE REF NTG'!U30</f>
        <v>229.41600812487661</v>
      </c>
      <c r="Z407" s="1047"/>
    </row>
    <row r="408" spans="1:26">
      <c r="A408" s="786"/>
      <c r="C408" s="1583"/>
      <c r="D408" s="1593"/>
      <c r="E408" s="1583"/>
      <c r="F408" s="1598"/>
      <c r="G408" s="1587" t="s">
        <v>346</v>
      </c>
      <c r="H408" s="1587"/>
      <c r="I408" s="1318">
        <f>'Statewide Ref Dispostion'!AN$25</f>
        <v>5.3098210650899032E-3</v>
      </c>
      <c r="J408" s="1146">
        <f>'Statewide PGE REF NTG'!I31</f>
        <v>1035.9927015759845</v>
      </c>
      <c r="K408" s="1118">
        <f>'Statewide PGE REF NTG'!K31</f>
        <v>0.90680879999999997</v>
      </c>
      <c r="L408" s="1146">
        <f>'Statewide PGE REF NTG'!M31</f>
        <v>939.4472985248766</v>
      </c>
      <c r="M408" s="1146">
        <f>'Statewide PGE REF NTG'!O31</f>
        <v>452</v>
      </c>
      <c r="N408" s="1118">
        <f>'Statewide PGE REF NTG'!Q31</f>
        <v>0.90680879999999997</v>
      </c>
      <c r="O408" s="1146">
        <f>'Statewide PGE REF NTG'!S31</f>
        <v>409.8775776</v>
      </c>
      <c r="P408" s="1146">
        <f>'Statewide PGE REF NTG'!U31</f>
        <v>529.56972092487661</v>
      </c>
      <c r="Z408" s="1047"/>
    </row>
    <row r="409" spans="1:26">
      <c r="A409" s="786"/>
      <c r="C409" s="1583"/>
      <c r="D409" s="1593"/>
      <c r="E409" s="1583"/>
      <c r="F409" s="1599"/>
      <c r="G409" s="1587" t="s">
        <v>347</v>
      </c>
      <c r="H409" s="1587"/>
      <c r="I409" s="1318">
        <f>'Statewide Ref Dispostion'!AN$26</f>
        <v>1.1841082338023101E-3</v>
      </c>
      <c r="J409" s="1146">
        <f>'Statewide PGE REF NTG'!I32</f>
        <v>1035.9927015759845</v>
      </c>
      <c r="K409" s="1118">
        <f>'Statewide PGE REF NTG'!K32</f>
        <v>0.90680879999999997</v>
      </c>
      <c r="L409" s="1146">
        <f>'Statewide PGE REF NTG'!M32</f>
        <v>939.4472985248766</v>
      </c>
      <c r="M409" s="1146">
        <f>'Statewide PGE REF NTG'!O32</f>
        <v>0</v>
      </c>
      <c r="N409" s="1118">
        <f>'Statewide PGE REF NTG'!Q32</f>
        <v>0.90680879999999997</v>
      </c>
      <c r="O409" s="1146">
        <f>'Statewide PGE REF NTG'!S32</f>
        <v>0</v>
      </c>
      <c r="P409" s="1146">
        <f>'Statewide PGE REF NTG'!U32</f>
        <v>939.4472985248766</v>
      </c>
      <c r="Z409" s="1047"/>
    </row>
    <row r="410" spans="1:26">
      <c r="A410" s="786"/>
      <c r="C410" s="1583"/>
      <c r="D410" s="1593"/>
      <c r="E410" s="1583" t="s">
        <v>342</v>
      </c>
      <c r="F410" s="1584" t="s">
        <v>349</v>
      </c>
      <c r="G410" s="1585"/>
      <c r="H410" s="1586"/>
      <c r="I410" s="1318">
        <f>'Statewide Ref Dispostion'!AN$27</f>
        <v>1.105280935239851E-2</v>
      </c>
      <c r="J410" s="1146">
        <f>'Statewide PGE REF NTG'!I33</f>
        <v>1035.9927015759845</v>
      </c>
      <c r="K410" s="1118">
        <f>'Statewide PGE REF NTG'!K33</f>
        <v>1</v>
      </c>
      <c r="L410" s="1146">
        <f>'Statewide PGE REF NTG'!M33</f>
        <v>1035.9927015759845</v>
      </c>
      <c r="M410" s="1146">
        <f>'Statewide PGE REF NTG'!O33</f>
        <v>783</v>
      </c>
      <c r="N410" s="1118">
        <f>'Statewide PGE REF NTG'!Q33</f>
        <v>1</v>
      </c>
      <c r="O410" s="1146">
        <f>'Statewide PGE REF NTG'!S33</f>
        <v>783</v>
      </c>
      <c r="P410" s="1146">
        <f>'Statewide PGE REF NTG'!U33</f>
        <v>252.99270157598448</v>
      </c>
      <c r="Z410" s="1047"/>
    </row>
    <row r="411" spans="1:26">
      <c r="A411" s="786"/>
      <c r="C411" s="1583"/>
      <c r="D411" s="1593"/>
      <c r="E411" s="1583"/>
      <c r="F411" s="1575" t="s">
        <v>350</v>
      </c>
      <c r="G411" s="1575"/>
      <c r="H411" s="1575"/>
      <c r="I411" s="1318">
        <f>'Statewide Ref Dispostion'!AN$28</f>
        <v>5.6345838280219213E-3</v>
      </c>
      <c r="J411" s="1146">
        <f>'Statewide PGE REF NTG'!I34</f>
        <v>1035.9927015759845</v>
      </c>
      <c r="K411" s="1118">
        <f>'Statewide PGE REF NTG'!K34</f>
        <v>1</v>
      </c>
      <c r="L411" s="1146">
        <f>'Statewide PGE REF NTG'!M34</f>
        <v>1035.9927015759845</v>
      </c>
      <c r="M411" s="1146">
        <f>'Statewide PGE REF NTG'!O34</f>
        <v>783</v>
      </c>
      <c r="N411" s="1118">
        <f>'Statewide PGE REF NTG'!Q34</f>
        <v>1</v>
      </c>
      <c r="O411" s="1146">
        <f>'Statewide PGE REF NTG'!S34</f>
        <v>783</v>
      </c>
      <c r="P411" s="1146">
        <f>'Statewide PGE REF NTG'!U34</f>
        <v>252.99270157598448</v>
      </c>
      <c r="Z411" s="1047"/>
    </row>
    <row r="412" spans="1:26">
      <c r="A412" s="786"/>
      <c r="C412" s="1583"/>
      <c r="D412" s="1593"/>
      <c r="E412" s="1583"/>
      <c r="F412" s="1575" t="s">
        <v>57</v>
      </c>
      <c r="G412" s="1575"/>
      <c r="H412" s="1575"/>
      <c r="I412" s="1318">
        <f>'Statewide Ref Dispostion'!AN$29</f>
        <v>6.6700356800320753E-3</v>
      </c>
      <c r="J412" s="1146">
        <f>'Statewide PGE REF NTG'!I35</f>
        <v>1035.9927015759845</v>
      </c>
      <c r="K412" s="1118">
        <f>'Statewide PGE REF NTG'!K35</f>
        <v>1</v>
      </c>
      <c r="L412" s="1146">
        <f>'Statewide PGE REF NTG'!M35</f>
        <v>1035.9927015759845</v>
      </c>
      <c r="M412" s="1146">
        <f>'Statewide PGE REF NTG'!O35</f>
        <v>783</v>
      </c>
      <c r="N412" s="1118">
        <f>'Statewide PGE REF NTG'!Q35</f>
        <v>1</v>
      </c>
      <c r="O412" s="1146">
        <f>'Statewide PGE REF NTG'!S35</f>
        <v>783</v>
      </c>
      <c r="P412" s="1146">
        <f>'Statewide PGE REF NTG'!U35</f>
        <v>252.99270157598448</v>
      </c>
      <c r="Z412" s="1047"/>
    </row>
    <row r="413" spans="1:26">
      <c r="A413" s="786"/>
      <c r="C413" s="1583"/>
      <c r="D413" s="1593"/>
      <c r="E413" s="1588" t="s">
        <v>266</v>
      </c>
      <c r="F413" s="1588"/>
      <c r="G413" s="1588"/>
      <c r="H413" s="1588"/>
      <c r="I413" s="1318">
        <f>'Statewide Ref Dispostion'!AN$30</f>
        <v>0.11329664889249251</v>
      </c>
      <c r="J413" s="1146">
        <f>'Statewide PGE REF NTG'!I36</f>
        <v>1035.9927015759843</v>
      </c>
      <c r="K413" s="1118">
        <f>'Statewide PGE REF NTG'!K36</f>
        <v>0.98178700853973866</v>
      </c>
      <c r="L413" s="1146">
        <f>'Statewide PGE REF NTG'!M36</f>
        <v>1017.1241753492882</v>
      </c>
      <c r="M413" s="1146">
        <f>'Statewide PGE REF NTG'!O36</f>
        <v>457</v>
      </c>
      <c r="N413" s="1118">
        <f>'Statewide PGE REF NTG'!Q36</f>
        <v>0.9822864980314816</v>
      </c>
      <c r="O413" s="1146">
        <f>'Statewide PGE REF NTG'!S36</f>
        <v>454</v>
      </c>
      <c r="P413" s="1146">
        <f>'Statewide PGE REF NTG'!U36</f>
        <v>563.12417534928818</v>
      </c>
      <c r="Z413" s="1047"/>
    </row>
    <row r="414" spans="1:26">
      <c r="A414" s="786"/>
      <c r="C414" s="1613" t="s">
        <v>5</v>
      </c>
      <c r="D414" s="1614"/>
      <c r="E414" s="1614"/>
      <c r="F414" s="1614"/>
      <c r="G414" s="1614"/>
      <c r="H414" s="1615"/>
      <c r="I414" s="1319">
        <f>'Statewide Ref Dispostion'!AN$31</f>
        <v>0.99446916635964477</v>
      </c>
      <c r="J414" s="1235">
        <f>'Statewide PGE REF NTG'!I37</f>
        <v>1035.9927015759843</v>
      </c>
      <c r="K414" s="1236">
        <f>'Statewide PGE REF NTG'!K37</f>
        <v>0.94349446975977314</v>
      </c>
      <c r="L414" s="1235">
        <f>'Statewide PGE REF NTG'!M37</f>
        <v>977.45338464842825</v>
      </c>
      <c r="M414" s="1235">
        <f>'Statewide PGE REF NTG'!O37</f>
        <v>637.01672893703039</v>
      </c>
      <c r="N414" s="1236">
        <f>'Statewide PGE REF NTG'!Q37</f>
        <v>0.81976608150305719</v>
      </c>
      <c r="O414" s="1235">
        <f>'Statewide PGE REF NTG'!S37</f>
        <v>467.35756794163933</v>
      </c>
      <c r="P414" s="1235">
        <f>'Statewide PGE REF NTG'!U37</f>
        <v>510.09581670678864</v>
      </c>
      <c r="Z414" s="1047"/>
    </row>
    <row r="415" spans="1:26">
      <c r="A415" s="786"/>
      <c r="Z415" s="1047"/>
    </row>
    <row r="416" spans="1:26">
      <c r="A416" s="786"/>
      <c r="Z416" s="1047"/>
    </row>
    <row r="417" spans="1:26">
      <c r="A417" s="786"/>
      <c r="Z417" s="1047"/>
    </row>
    <row r="418" spans="1:26">
      <c r="A418" s="786"/>
      <c r="C418" s="822" t="s">
        <v>910</v>
      </c>
      <c r="Z418" s="1047"/>
    </row>
    <row r="419" spans="1:26">
      <c r="A419" s="786"/>
      <c r="C419" s="1619" t="s">
        <v>519</v>
      </c>
      <c r="D419" s="1619"/>
      <c r="E419" s="1619"/>
      <c r="F419" s="1619"/>
      <c r="G419" s="1619"/>
      <c r="H419" s="1619"/>
      <c r="I419" s="1606" t="s">
        <v>904</v>
      </c>
      <c r="J419" s="1608" t="s">
        <v>900</v>
      </c>
      <c r="K419" s="1608"/>
      <c r="L419" s="1608"/>
      <c r="M419" s="1608" t="s">
        <v>901</v>
      </c>
      <c r="N419" s="1608"/>
      <c r="O419" s="1608"/>
      <c r="P419" s="1617" t="s">
        <v>531</v>
      </c>
      <c r="Z419" s="1047"/>
    </row>
    <row r="420" spans="1:26">
      <c r="A420" s="786"/>
      <c r="C420" s="1619"/>
      <c r="D420" s="1619"/>
      <c r="E420" s="1619"/>
      <c r="F420" s="1619"/>
      <c r="G420" s="1619"/>
      <c r="H420" s="1619"/>
      <c r="I420" s="1607"/>
      <c r="J420" s="1172" t="s">
        <v>905</v>
      </c>
      <c r="K420" s="1172" t="s">
        <v>857</v>
      </c>
      <c r="L420" s="1172" t="s">
        <v>902</v>
      </c>
      <c r="M420" s="1172" t="s">
        <v>905</v>
      </c>
      <c r="N420" s="1172" t="s">
        <v>857</v>
      </c>
      <c r="O420" s="1172" t="s">
        <v>902</v>
      </c>
      <c r="P420" s="1618"/>
      <c r="Z420" s="1047"/>
    </row>
    <row r="421" spans="1:26">
      <c r="A421" s="786"/>
      <c r="C421" s="1619"/>
      <c r="D421" s="1619"/>
      <c r="E421" s="1619"/>
      <c r="F421" s="1619"/>
      <c r="G421" s="1619"/>
      <c r="H421" s="1619"/>
      <c r="I421" s="1233" t="s">
        <v>520</v>
      </c>
      <c r="J421" s="1237" t="s">
        <v>521</v>
      </c>
      <c r="K421" s="1237" t="s">
        <v>522</v>
      </c>
      <c r="L421" s="1237" t="s">
        <v>523</v>
      </c>
      <c r="M421" s="1237" t="s">
        <v>524</v>
      </c>
      <c r="N421" s="1237" t="s">
        <v>525</v>
      </c>
      <c r="O421" s="1237" t="s">
        <v>526</v>
      </c>
      <c r="P421" s="1237" t="s">
        <v>903</v>
      </c>
      <c r="Z421" s="1047"/>
    </row>
    <row r="422" spans="1:26">
      <c r="A422" s="786"/>
      <c r="C422" s="1575" t="s">
        <v>267</v>
      </c>
      <c r="D422" s="1575"/>
      <c r="E422" s="1575"/>
      <c r="F422" s="1575"/>
      <c r="G422" s="1575"/>
      <c r="H422" s="1575"/>
      <c r="I422" s="1318">
        <f>'Statewide Ref Dispostion'!AN$8</f>
        <v>0.136803497976</v>
      </c>
      <c r="J422" s="1146">
        <f>'Statewide SCE REF NTG'!I14</f>
        <v>958.28708348749888</v>
      </c>
      <c r="K422" s="1118">
        <f>'Statewide SCE REF NTG'!K14</f>
        <v>0.96779020000000004</v>
      </c>
      <c r="L422" s="1146">
        <f>'Statewide SCE REF NTG'!M14</f>
        <v>927.42084818578326</v>
      </c>
      <c r="M422" s="1146">
        <f>'Statewide SCE REF NTG'!O14</f>
        <v>958.28708348749888</v>
      </c>
      <c r="N422" s="1118">
        <f>'Statewide SCE REF NTG'!Q14</f>
        <v>0</v>
      </c>
      <c r="O422" s="1146">
        <f>'Statewide SCE REF NTG'!S14</f>
        <v>0</v>
      </c>
      <c r="P422" s="1146">
        <f>'Statewide SCE REF NTG'!U14</f>
        <v>927.42084818578326</v>
      </c>
      <c r="Z422" s="1047"/>
    </row>
    <row r="423" spans="1:26">
      <c r="A423" s="786"/>
      <c r="C423" s="1575" t="s">
        <v>268</v>
      </c>
      <c r="D423" s="1575"/>
      <c r="E423" s="1575"/>
      <c r="F423" s="1575"/>
      <c r="G423" s="1575"/>
      <c r="H423" s="1575"/>
      <c r="I423" s="1318">
        <f>'Statewide Ref Dispostion'!AN$9</f>
        <v>2.3024502023999999E-2</v>
      </c>
      <c r="J423" s="1146">
        <f>'Statewide SCE REF NTG'!I15</f>
        <v>958.28708348749888</v>
      </c>
      <c r="K423" s="1118">
        <f>'Statewide SCE REF NTG'!K15</f>
        <v>0</v>
      </c>
      <c r="L423" s="1146">
        <f>'Statewide SCE REF NTG'!M15</f>
        <v>0</v>
      </c>
      <c r="M423" s="1146">
        <f>'Statewide SCE REF NTG'!O15</f>
        <v>958.28708348749888</v>
      </c>
      <c r="N423" s="1118">
        <f>'Statewide SCE REF NTG'!Q15</f>
        <v>0</v>
      </c>
      <c r="O423" s="1146">
        <f>'Statewide SCE REF NTG'!S15</f>
        <v>0</v>
      </c>
      <c r="P423" s="1146">
        <f>'Statewide SCE REF NTG'!U15</f>
        <v>0</v>
      </c>
      <c r="Z423" s="1047"/>
    </row>
    <row r="424" spans="1:26">
      <c r="A424" s="786"/>
      <c r="C424" s="1583" t="s">
        <v>340</v>
      </c>
      <c r="D424" s="1602" t="s">
        <v>133</v>
      </c>
      <c r="E424" s="1603"/>
      <c r="F424" s="1603"/>
      <c r="G424" s="1603"/>
      <c r="H424" s="1604"/>
      <c r="I424" s="1318">
        <f>'Statewide Ref Dispostion'!AN$10</f>
        <v>0.18151916060000001</v>
      </c>
      <c r="J424" s="1146">
        <f>'Statewide SCE REF NTG'!I16</f>
        <v>958.28708348749888</v>
      </c>
      <c r="K424" s="1118">
        <f>'Statewide SCE REF NTG'!K16</f>
        <v>0.97</v>
      </c>
      <c r="L424" s="1146">
        <f>'Statewide SCE REF NTG'!M16</f>
        <v>954</v>
      </c>
      <c r="M424" s="1146">
        <f>'Statewide SCE REF NTG'!O16</f>
        <v>391</v>
      </c>
      <c r="N424" s="1118">
        <f>'Statewide SCE REF NTG'!Q16</f>
        <v>1</v>
      </c>
      <c r="O424" s="1146">
        <f>'Statewide SCE REF NTG'!S16</f>
        <v>390</v>
      </c>
      <c r="P424" s="1146">
        <f>'Statewide SCE REF NTG'!U16</f>
        <v>564</v>
      </c>
      <c r="Z424" s="1047"/>
    </row>
    <row r="425" spans="1:26">
      <c r="A425" s="786"/>
      <c r="C425" s="1583"/>
      <c r="D425" s="1592" t="s">
        <v>341</v>
      </c>
      <c r="E425" s="1592" t="s">
        <v>342</v>
      </c>
      <c r="F425" s="1575" t="s">
        <v>344</v>
      </c>
      <c r="G425" s="1575"/>
      <c r="H425" s="1575"/>
      <c r="I425" s="1318">
        <f>'Statewide Ref Dispostion'!AN$11</f>
        <v>1.1642391561073492E-2</v>
      </c>
      <c r="J425" s="1146">
        <f>'Statewide SCE REF NTG'!I17</f>
        <v>958.28708348749888</v>
      </c>
      <c r="K425" s="1118">
        <f>'Statewide SCE REF NTG'!K17</f>
        <v>1</v>
      </c>
      <c r="L425" s="1146">
        <f>'Statewide SCE REF NTG'!M17</f>
        <v>958.28708348749888</v>
      </c>
      <c r="M425" s="1146">
        <f>'Statewide SCE REF NTG'!O17</f>
        <v>737</v>
      </c>
      <c r="N425" s="1118">
        <f>'Statewide SCE REF NTG'!Q17</f>
        <v>1</v>
      </c>
      <c r="O425" s="1146">
        <f>'Statewide SCE REF NTG'!S17</f>
        <v>737</v>
      </c>
      <c r="P425" s="1146">
        <f>'Statewide SCE REF NTG'!U17</f>
        <v>221.28708348749888</v>
      </c>
      <c r="Z425" s="1047"/>
    </row>
    <row r="426" spans="1:26">
      <c r="A426" s="786"/>
      <c r="C426" s="1583"/>
      <c r="D426" s="1593"/>
      <c r="E426" s="1593"/>
      <c r="F426" s="1575" t="s">
        <v>345</v>
      </c>
      <c r="G426" s="1575"/>
      <c r="H426" s="1575"/>
      <c r="I426" s="1318">
        <f>'Statewide Ref Dispostion'!AN$12</f>
        <v>9.9035037548185934E-2</v>
      </c>
      <c r="J426" s="1146">
        <f>'Statewide SCE REF NTG'!I18</f>
        <v>958.28708348749888</v>
      </c>
      <c r="K426" s="1118">
        <f>'Statewide SCE REF NTG'!K18</f>
        <v>1</v>
      </c>
      <c r="L426" s="1146">
        <f>'Statewide SCE REF NTG'!M18</f>
        <v>958.28708348749888</v>
      </c>
      <c r="M426" s="1146">
        <f>'Statewide SCE REF NTG'!O18</f>
        <v>635</v>
      </c>
      <c r="N426" s="1118">
        <f>'Statewide SCE REF NTG'!Q18</f>
        <v>1</v>
      </c>
      <c r="O426" s="1146">
        <f>'Statewide SCE REF NTG'!S18</f>
        <v>635</v>
      </c>
      <c r="P426" s="1146">
        <f>'Statewide SCE REF NTG'!U18</f>
        <v>323.28708348749888</v>
      </c>
      <c r="Z426" s="1047"/>
    </row>
    <row r="427" spans="1:26">
      <c r="A427" s="786"/>
      <c r="C427" s="1583"/>
      <c r="D427" s="1593"/>
      <c r="E427" s="1593"/>
      <c r="F427" s="1575" t="s">
        <v>346</v>
      </c>
      <c r="G427" s="1575"/>
      <c r="H427" s="1575"/>
      <c r="I427" s="1318">
        <f>'Statewide Ref Dispostion'!AN$13</f>
        <v>8.4221478298931493E-2</v>
      </c>
      <c r="J427" s="1146">
        <f>'Statewide SCE REF NTG'!I19</f>
        <v>958.28708348749888</v>
      </c>
      <c r="K427" s="1118">
        <f>'Statewide SCE REF NTG'!K19</f>
        <v>1</v>
      </c>
      <c r="L427" s="1146">
        <f>'Statewide SCE REF NTG'!M19</f>
        <v>958.28708348749888</v>
      </c>
      <c r="M427" s="1146">
        <f>'Statewide SCE REF NTG'!O19</f>
        <v>452</v>
      </c>
      <c r="N427" s="1118">
        <f>'Statewide SCE REF NTG'!Q19</f>
        <v>1</v>
      </c>
      <c r="O427" s="1146">
        <f>'Statewide SCE REF NTG'!S19</f>
        <v>452</v>
      </c>
      <c r="P427" s="1146">
        <f>'Statewide SCE REF NTG'!U19</f>
        <v>506.28708348749888</v>
      </c>
      <c r="Z427" s="1047"/>
    </row>
    <row r="428" spans="1:26">
      <c r="A428" s="786"/>
      <c r="C428" s="1583"/>
      <c r="D428" s="1593"/>
      <c r="E428" s="1593"/>
      <c r="F428" s="1605" t="s">
        <v>494</v>
      </c>
      <c r="G428" s="1605"/>
      <c r="H428" s="774" t="s">
        <v>509</v>
      </c>
      <c r="I428" s="1318">
        <f>'Statewide Ref Dispostion'!AN$14</f>
        <v>5.1842432725117987E-2</v>
      </c>
      <c r="J428" s="1146">
        <f>'Statewide SCE REF NTG'!I20</f>
        <v>958.28708348749888</v>
      </c>
      <c r="K428" s="1118">
        <f>'Statewide SCE REF NTG'!K20</f>
        <v>1</v>
      </c>
      <c r="L428" s="1146">
        <f>'Statewide SCE REF NTG'!M20</f>
        <v>958.28708348749888</v>
      </c>
      <c r="M428" s="1146">
        <f>'Statewide SCE REF NTG'!O20</f>
        <v>737</v>
      </c>
      <c r="N428" s="1118">
        <f>'Statewide SCE REF NTG'!Q20</f>
        <v>1</v>
      </c>
      <c r="O428" s="1146">
        <f>'Statewide SCE REF NTG'!S20</f>
        <v>737</v>
      </c>
      <c r="P428" s="1146">
        <f>'Statewide SCE REF NTG'!U20</f>
        <v>221.28708348749888</v>
      </c>
      <c r="Z428" s="1047"/>
    </row>
    <row r="429" spans="1:26">
      <c r="A429" s="786"/>
      <c r="C429" s="1583"/>
      <c r="D429" s="1593"/>
      <c r="E429" s="1594"/>
      <c r="F429" s="1605"/>
      <c r="G429" s="1605"/>
      <c r="H429" s="774" t="s">
        <v>511</v>
      </c>
      <c r="I429" s="1318">
        <f>'Statewide Ref Dispostion'!AN$15</f>
        <v>1.4023771042849197E-2</v>
      </c>
      <c r="J429" s="1146">
        <f>'Statewide SCE REF NTG'!I21</f>
        <v>958.28708348749888</v>
      </c>
      <c r="K429" s="1118">
        <f>'Statewide SCE REF NTG'!K21</f>
        <v>0.96779020000000004</v>
      </c>
      <c r="L429" s="1146">
        <f>'Statewide SCE REF NTG'!M21</f>
        <v>927.42084818578326</v>
      </c>
      <c r="M429" s="1146">
        <f>'Statewide SCE REF NTG'!O21</f>
        <v>0</v>
      </c>
      <c r="N429" s="1118">
        <f>'Statewide SCE REF NTG'!Q21</f>
        <v>0.96779020000000004</v>
      </c>
      <c r="O429" s="1146">
        <f>'Statewide SCE REF NTG'!S21</f>
        <v>0</v>
      </c>
      <c r="P429" s="1146">
        <f>'Statewide SCE REF NTG'!U21</f>
        <v>927.42084818578326</v>
      </c>
      <c r="Z429" s="1047"/>
    </row>
    <row r="430" spans="1:26">
      <c r="A430" s="786"/>
      <c r="C430" s="1583"/>
      <c r="D430" s="1593"/>
      <c r="E430" s="1592" t="s">
        <v>343</v>
      </c>
      <c r="F430" s="1575" t="s">
        <v>344</v>
      </c>
      <c r="G430" s="1575"/>
      <c r="H430" s="1575"/>
      <c r="I430" s="1318">
        <f>'Statewide Ref Dispostion'!AN$16</f>
        <v>4.3865910057667235E-3</v>
      </c>
      <c r="J430" s="1146">
        <f>'Statewide SCE REF NTG'!I22</f>
        <v>958.28708348749888</v>
      </c>
      <c r="K430" s="1118">
        <f>'Statewide SCE REF NTG'!K22</f>
        <v>0.96779020000000004</v>
      </c>
      <c r="L430" s="1146">
        <f>'Statewide SCE REF NTG'!M22</f>
        <v>927.42084818578326</v>
      </c>
      <c r="M430" s="1146">
        <f>'Statewide SCE REF NTG'!O22</f>
        <v>737</v>
      </c>
      <c r="N430" s="1118">
        <f>'Statewide SCE REF NTG'!Q22</f>
        <v>0.96779020000000004</v>
      </c>
      <c r="O430" s="1146">
        <f>'Statewide SCE REF NTG'!S22</f>
        <v>713.26137740000001</v>
      </c>
      <c r="P430" s="1146">
        <f>'Statewide SCE REF NTG'!U22</f>
        <v>214.15947078578324</v>
      </c>
      <c r="Z430" s="1047"/>
    </row>
    <row r="431" spans="1:26">
      <c r="A431" s="786"/>
      <c r="C431" s="1583"/>
      <c r="D431" s="1593"/>
      <c r="E431" s="1593"/>
      <c r="F431" s="1575" t="s">
        <v>345</v>
      </c>
      <c r="G431" s="1575"/>
      <c r="H431" s="1575"/>
      <c r="I431" s="1318">
        <f>'Statewide Ref Dispostion'!AN$17</f>
        <v>2.0012557038668416E-2</v>
      </c>
      <c r="J431" s="1146">
        <f>'Statewide SCE REF NTG'!I23</f>
        <v>958.28708348749888</v>
      </c>
      <c r="K431" s="1118">
        <f>'Statewide SCE REF NTG'!K23</f>
        <v>0.96779020000000004</v>
      </c>
      <c r="L431" s="1146">
        <f>'Statewide SCE REF NTG'!M23</f>
        <v>927.42084818578326</v>
      </c>
      <c r="M431" s="1146">
        <f>'Statewide SCE REF NTG'!O23</f>
        <v>635</v>
      </c>
      <c r="N431" s="1118">
        <f>'Statewide SCE REF NTG'!Q23</f>
        <v>0.96779020000000004</v>
      </c>
      <c r="O431" s="1146">
        <f>'Statewide SCE REF NTG'!S23</f>
        <v>614.54677700000002</v>
      </c>
      <c r="P431" s="1146">
        <f>'Statewide SCE REF NTG'!U23</f>
        <v>312.87407118578324</v>
      </c>
      <c r="Z431" s="1047"/>
    </row>
    <row r="432" spans="1:26">
      <c r="A432" s="786"/>
      <c r="C432" s="1583"/>
      <c r="D432" s="1593"/>
      <c r="E432" s="1593"/>
      <c r="F432" s="1575" t="s">
        <v>346</v>
      </c>
      <c r="G432" s="1575"/>
      <c r="H432" s="1575"/>
      <c r="I432" s="1318">
        <f>'Statewide Ref Dispostion'!AN$18</f>
        <v>1.2032597130769086E-2</v>
      </c>
      <c r="J432" s="1146">
        <f>'Statewide SCE REF NTG'!I24</f>
        <v>958.28708348749888</v>
      </c>
      <c r="K432" s="1118">
        <f>'Statewide SCE REF NTG'!K24</f>
        <v>0.96779020000000004</v>
      </c>
      <c r="L432" s="1146">
        <f>'Statewide SCE REF NTG'!M24</f>
        <v>927.42084818578326</v>
      </c>
      <c r="M432" s="1146">
        <f>'Statewide SCE REF NTG'!O24</f>
        <v>452</v>
      </c>
      <c r="N432" s="1118">
        <f>'Statewide SCE REF NTG'!Q24</f>
        <v>0.96779020000000004</v>
      </c>
      <c r="O432" s="1146">
        <f>'Statewide SCE REF NTG'!S24</f>
        <v>437.44117040000003</v>
      </c>
      <c r="P432" s="1146">
        <f>'Statewide SCE REF NTG'!U24</f>
        <v>489.97967778578322</v>
      </c>
      <c r="Z432" s="1047"/>
    </row>
    <row r="433" spans="1:26">
      <c r="A433" s="786"/>
      <c r="C433" s="1583"/>
      <c r="D433" s="1594"/>
      <c r="E433" s="1594"/>
      <c r="F433" s="1575" t="s">
        <v>347</v>
      </c>
      <c r="G433" s="1575"/>
      <c r="H433" s="1575"/>
      <c r="I433" s="1318">
        <f>'Statewide Ref Dispostion'!AN$19</f>
        <v>3.6340924882971623E-2</v>
      </c>
      <c r="J433" s="1146">
        <f>'Statewide SCE REF NTG'!I25</f>
        <v>958.28708348749888</v>
      </c>
      <c r="K433" s="1118">
        <f>'Statewide SCE REF NTG'!K25</f>
        <v>0.96779020000000004</v>
      </c>
      <c r="L433" s="1146">
        <f>'Statewide SCE REF NTG'!M25</f>
        <v>927.42084818578326</v>
      </c>
      <c r="M433" s="1146">
        <f>'Statewide SCE REF NTG'!O25</f>
        <v>0</v>
      </c>
      <c r="N433" s="1118">
        <f>'Statewide SCE REF NTG'!Q25</f>
        <v>0.96779020000000004</v>
      </c>
      <c r="O433" s="1146">
        <f>'Statewide SCE REF NTG'!S25</f>
        <v>0</v>
      </c>
      <c r="P433" s="1146">
        <f>'Statewide SCE REF NTG'!U25</f>
        <v>927.42084818578326</v>
      </c>
      <c r="Z433" s="1047"/>
    </row>
    <row r="434" spans="1:26">
      <c r="A434" s="786"/>
      <c r="C434" s="1583"/>
      <c r="D434" s="1592" t="s">
        <v>88</v>
      </c>
      <c r="E434" s="1583" t="s">
        <v>348</v>
      </c>
      <c r="F434" s="1592" t="s">
        <v>342</v>
      </c>
      <c r="G434" s="1584" t="s">
        <v>345</v>
      </c>
      <c r="H434" s="1586"/>
      <c r="I434" s="1318">
        <f>'Statewide Ref Dispostion'!AN$20</f>
        <v>7.4297916790629318E-2</v>
      </c>
      <c r="J434" s="1146">
        <f>'Statewide SCE REF NTG'!I26</f>
        <v>958.28708348749888</v>
      </c>
      <c r="K434" s="1118">
        <f>'Statewide SCE REF NTG'!K26</f>
        <v>1</v>
      </c>
      <c r="L434" s="1146">
        <f>'Statewide SCE REF NTG'!M26</f>
        <v>958.28708348749888</v>
      </c>
      <c r="M434" s="1146">
        <f>'Statewide SCE REF NTG'!O26</f>
        <v>635</v>
      </c>
      <c r="N434" s="1118">
        <f>'Statewide SCE REF NTG'!Q26</f>
        <v>1</v>
      </c>
      <c r="O434" s="1146">
        <f>'Statewide SCE REF NTG'!S26</f>
        <v>635</v>
      </c>
      <c r="P434" s="1146">
        <f>'Statewide SCE REF NTG'!U26</f>
        <v>323.28708348749888</v>
      </c>
      <c r="Z434" s="1047"/>
    </row>
    <row r="435" spans="1:26">
      <c r="A435" s="786"/>
      <c r="C435" s="1583"/>
      <c r="D435" s="1593"/>
      <c r="E435" s="1583"/>
      <c r="F435" s="1593"/>
      <c r="G435" s="1587" t="s">
        <v>346</v>
      </c>
      <c r="H435" s="1587"/>
      <c r="I435" s="1318">
        <f>'Statewide Ref Dispostion'!AN$21</f>
        <v>5.6951714683935721E-2</v>
      </c>
      <c r="J435" s="1146">
        <f>'Statewide SCE REF NTG'!I27</f>
        <v>958.28708348749888</v>
      </c>
      <c r="K435" s="1118">
        <f>'Statewide SCE REF NTG'!K27</f>
        <v>1</v>
      </c>
      <c r="L435" s="1146">
        <f>'Statewide SCE REF NTG'!M27</f>
        <v>958.28708348749888</v>
      </c>
      <c r="M435" s="1146">
        <f>'Statewide SCE REF NTG'!O27</f>
        <v>452</v>
      </c>
      <c r="N435" s="1118">
        <f>'Statewide SCE REF NTG'!Q27</f>
        <v>1</v>
      </c>
      <c r="O435" s="1146">
        <f>'Statewide SCE REF NTG'!S27</f>
        <v>452</v>
      </c>
      <c r="P435" s="1146">
        <f>'Statewide SCE REF NTG'!U27</f>
        <v>506.28708348749888</v>
      </c>
      <c r="Z435" s="1047"/>
    </row>
    <row r="436" spans="1:26">
      <c r="A436" s="786"/>
      <c r="C436" s="1583"/>
      <c r="D436" s="1593"/>
      <c r="E436" s="1583"/>
      <c r="F436" s="1593"/>
      <c r="G436" s="1595" t="s">
        <v>495</v>
      </c>
      <c r="H436" s="774" t="s">
        <v>509</v>
      </c>
      <c r="I436" s="1318">
        <f>'Statewide Ref Dispostion'!AN$22</f>
        <v>3.297520714939247E-2</v>
      </c>
      <c r="J436" s="1146">
        <f>'Statewide SCE REF NTG'!I28</f>
        <v>958.28708348749888</v>
      </c>
      <c r="K436" s="1118">
        <f>'Statewide SCE REF NTG'!K28</f>
        <v>1</v>
      </c>
      <c r="L436" s="1146">
        <f>'Statewide SCE REF NTG'!M28</f>
        <v>958.28708348749888</v>
      </c>
      <c r="M436" s="1146">
        <f>'Statewide SCE REF NTG'!O28</f>
        <v>737</v>
      </c>
      <c r="N436" s="1118">
        <f>'Statewide SCE REF NTG'!Q28</f>
        <v>1</v>
      </c>
      <c r="O436" s="1146">
        <f>'Statewide SCE REF NTG'!S28</f>
        <v>737</v>
      </c>
      <c r="P436" s="1146">
        <f>'Statewide SCE REF NTG'!U28</f>
        <v>221.28708348749888</v>
      </c>
      <c r="Z436" s="1047"/>
    </row>
    <row r="437" spans="1:26">
      <c r="A437" s="786"/>
      <c r="C437" s="1583"/>
      <c r="D437" s="1593"/>
      <c r="E437" s="1583"/>
      <c r="F437" s="1594"/>
      <c r="G437" s="1596"/>
      <c r="H437" s="774" t="s">
        <v>511</v>
      </c>
      <c r="I437" s="1318">
        <f>'Statewide Ref Dispostion'!AN$23</f>
        <v>2.8933750518450236E-3</v>
      </c>
      <c r="J437" s="1146">
        <f>'Statewide SCE REF NTG'!I29</f>
        <v>958.28708348749888</v>
      </c>
      <c r="K437" s="1118">
        <f>'Statewide SCE REF NTG'!K29</f>
        <v>0.96779020000000004</v>
      </c>
      <c r="L437" s="1146">
        <f>'Statewide SCE REF NTG'!M29</f>
        <v>927.42084818578326</v>
      </c>
      <c r="M437" s="1146">
        <f>'Statewide SCE REF NTG'!O29</f>
        <v>0</v>
      </c>
      <c r="N437" s="1118">
        <f>'Statewide SCE REF NTG'!Q29</f>
        <v>0.96779020000000004</v>
      </c>
      <c r="O437" s="1146">
        <f>'Statewide SCE REF NTG'!S29</f>
        <v>0</v>
      </c>
      <c r="P437" s="1146">
        <f>'Statewide SCE REF NTG'!U29</f>
        <v>927.42084818578326</v>
      </c>
      <c r="Z437" s="1047"/>
    </row>
    <row r="438" spans="1:26">
      <c r="A438" s="786"/>
      <c r="C438" s="1583"/>
      <c r="D438" s="1593"/>
      <c r="E438" s="1583"/>
      <c r="F438" s="1597" t="s">
        <v>343</v>
      </c>
      <c r="G438" s="1600" t="s">
        <v>345</v>
      </c>
      <c r="H438" s="1601"/>
      <c r="I438" s="1318">
        <f>'Statewide Ref Dispostion'!AN$24</f>
        <v>9.318003797670742E-3</v>
      </c>
      <c r="J438" s="1146">
        <f>'Statewide SCE REF NTG'!I30</f>
        <v>958.28708348749888</v>
      </c>
      <c r="K438" s="1118">
        <f>'Statewide SCE REF NTG'!K30</f>
        <v>0.96779020000000004</v>
      </c>
      <c r="L438" s="1146">
        <f>'Statewide SCE REF NTG'!M30</f>
        <v>927.42084818578326</v>
      </c>
      <c r="M438" s="1146">
        <f>'Statewide SCE REF NTG'!O30</f>
        <v>635</v>
      </c>
      <c r="N438" s="1118">
        <f>'Statewide SCE REF NTG'!Q30</f>
        <v>0.96779020000000004</v>
      </c>
      <c r="O438" s="1146">
        <f>'Statewide SCE REF NTG'!S30</f>
        <v>614.54677700000002</v>
      </c>
      <c r="P438" s="1146">
        <f>'Statewide SCE REF NTG'!U30</f>
        <v>312.87407118578324</v>
      </c>
      <c r="Z438" s="1047"/>
    </row>
    <row r="439" spans="1:26">
      <c r="A439" s="786"/>
      <c r="C439" s="1583"/>
      <c r="D439" s="1593"/>
      <c r="E439" s="1583"/>
      <c r="F439" s="1598"/>
      <c r="G439" s="1587" t="s">
        <v>346</v>
      </c>
      <c r="H439" s="1587"/>
      <c r="I439" s="1318">
        <f>'Statewide Ref Dispostion'!AN$25</f>
        <v>5.3098210650899032E-3</v>
      </c>
      <c r="J439" s="1146">
        <f>'Statewide SCE REF NTG'!I31</f>
        <v>958.28708348749888</v>
      </c>
      <c r="K439" s="1118">
        <f>'Statewide SCE REF NTG'!K31</f>
        <v>0.96779020000000004</v>
      </c>
      <c r="L439" s="1146">
        <f>'Statewide SCE REF NTG'!M31</f>
        <v>927.42084818578326</v>
      </c>
      <c r="M439" s="1146">
        <f>'Statewide SCE REF NTG'!O31</f>
        <v>452</v>
      </c>
      <c r="N439" s="1118">
        <f>'Statewide SCE REF NTG'!Q31</f>
        <v>0.96779020000000004</v>
      </c>
      <c r="O439" s="1146">
        <f>'Statewide SCE REF NTG'!S31</f>
        <v>437.44117040000003</v>
      </c>
      <c r="P439" s="1146">
        <f>'Statewide SCE REF NTG'!U31</f>
        <v>489.97967778578322</v>
      </c>
      <c r="Z439" s="1047"/>
    </row>
    <row r="440" spans="1:26">
      <c r="A440" s="786"/>
      <c r="C440" s="1583"/>
      <c r="D440" s="1593"/>
      <c r="E440" s="1583"/>
      <c r="F440" s="1599"/>
      <c r="G440" s="1587" t="s">
        <v>347</v>
      </c>
      <c r="H440" s="1587"/>
      <c r="I440" s="1318">
        <f>'Statewide Ref Dispostion'!AN$26</f>
        <v>1.1841082338023101E-3</v>
      </c>
      <c r="J440" s="1146">
        <f>'Statewide SCE REF NTG'!I32</f>
        <v>958.28708348749888</v>
      </c>
      <c r="K440" s="1118">
        <f>'Statewide SCE REF NTG'!K32</f>
        <v>0.96779020000000004</v>
      </c>
      <c r="L440" s="1146">
        <f>'Statewide SCE REF NTG'!M32</f>
        <v>927.42084818578326</v>
      </c>
      <c r="M440" s="1146">
        <f>'Statewide SCE REF NTG'!O32</f>
        <v>0</v>
      </c>
      <c r="N440" s="1118">
        <f>'Statewide SCE REF NTG'!Q32</f>
        <v>0.96779020000000004</v>
      </c>
      <c r="O440" s="1146">
        <f>'Statewide SCE REF NTG'!S32</f>
        <v>0</v>
      </c>
      <c r="P440" s="1146">
        <f>'Statewide SCE REF NTG'!U32</f>
        <v>927.42084818578326</v>
      </c>
      <c r="Z440" s="1047"/>
    </row>
    <row r="441" spans="1:26">
      <c r="A441" s="786"/>
      <c r="C441" s="1583"/>
      <c r="D441" s="1593"/>
      <c r="E441" s="1583" t="s">
        <v>342</v>
      </c>
      <c r="F441" s="1584" t="s">
        <v>349</v>
      </c>
      <c r="G441" s="1585"/>
      <c r="H441" s="1586"/>
      <c r="I441" s="1318">
        <f>'Statewide Ref Dispostion'!AN$27</f>
        <v>1.105280935239851E-2</v>
      </c>
      <c r="J441" s="1146">
        <f>'Statewide SCE REF NTG'!I33</f>
        <v>958.28708348749888</v>
      </c>
      <c r="K441" s="1118">
        <f>'Statewide SCE REF NTG'!K33</f>
        <v>1</v>
      </c>
      <c r="L441" s="1146">
        <f>'Statewide SCE REF NTG'!M33</f>
        <v>958.28708348749888</v>
      </c>
      <c r="M441" s="1146">
        <f>'Statewide SCE REF NTG'!O33</f>
        <v>635</v>
      </c>
      <c r="N441" s="1118">
        <f>'Statewide SCE REF NTG'!Q33</f>
        <v>1</v>
      </c>
      <c r="O441" s="1146">
        <f>'Statewide SCE REF NTG'!S33</f>
        <v>635</v>
      </c>
      <c r="P441" s="1146">
        <f>'Statewide SCE REF NTG'!U33</f>
        <v>323.28708348749888</v>
      </c>
      <c r="Z441" s="1047"/>
    </row>
    <row r="442" spans="1:26">
      <c r="A442" s="786"/>
      <c r="C442" s="1583"/>
      <c r="D442" s="1593"/>
      <c r="E442" s="1583"/>
      <c r="F442" s="1575" t="s">
        <v>350</v>
      </c>
      <c r="G442" s="1575"/>
      <c r="H442" s="1575"/>
      <c r="I442" s="1318">
        <f>'Statewide Ref Dispostion'!AN$28</f>
        <v>5.6345838280219213E-3</v>
      </c>
      <c r="J442" s="1146">
        <f>'Statewide SCE REF NTG'!I34</f>
        <v>958.28708348749888</v>
      </c>
      <c r="K442" s="1118">
        <f>'Statewide SCE REF NTG'!K34</f>
        <v>1</v>
      </c>
      <c r="L442" s="1146">
        <f>'Statewide SCE REF NTG'!M34</f>
        <v>958.28708348749888</v>
      </c>
      <c r="M442" s="1146">
        <f>'Statewide SCE REF NTG'!O34</f>
        <v>635</v>
      </c>
      <c r="N442" s="1118">
        <f>'Statewide SCE REF NTG'!Q34</f>
        <v>1</v>
      </c>
      <c r="O442" s="1146">
        <f>'Statewide SCE REF NTG'!S34</f>
        <v>635</v>
      </c>
      <c r="P442" s="1146">
        <f>'Statewide SCE REF NTG'!U34</f>
        <v>323.28708348749888</v>
      </c>
      <c r="Z442" s="1047"/>
    </row>
    <row r="443" spans="1:26">
      <c r="A443" s="786"/>
      <c r="C443" s="1583"/>
      <c r="D443" s="1593"/>
      <c r="E443" s="1583"/>
      <c r="F443" s="1575" t="s">
        <v>57</v>
      </c>
      <c r="G443" s="1575"/>
      <c r="H443" s="1575"/>
      <c r="I443" s="1318">
        <f>'Statewide Ref Dispostion'!AN$29</f>
        <v>6.6700356800320753E-3</v>
      </c>
      <c r="J443" s="1146">
        <f>'Statewide SCE REF NTG'!I35</f>
        <v>958.28708348749888</v>
      </c>
      <c r="K443" s="1118">
        <f>'Statewide SCE REF NTG'!K35</f>
        <v>1</v>
      </c>
      <c r="L443" s="1146">
        <f>'Statewide SCE REF NTG'!M35</f>
        <v>958.28708348749888</v>
      </c>
      <c r="M443" s="1146">
        <f>'Statewide SCE REF NTG'!O35</f>
        <v>635</v>
      </c>
      <c r="N443" s="1118">
        <f>'Statewide SCE REF NTG'!Q35</f>
        <v>1</v>
      </c>
      <c r="O443" s="1146">
        <f>'Statewide SCE REF NTG'!S35</f>
        <v>635</v>
      </c>
      <c r="P443" s="1146">
        <f>'Statewide SCE REF NTG'!U35</f>
        <v>323.28708348749888</v>
      </c>
      <c r="Z443" s="1047"/>
    </row>
    <row r="444" spans="1:26">
      <c r="A444" s="786"/>
      <c r="C444" s="1583"/>
      <c r="D444" s="1593"/>
      <c r="E444" s="1588" t="s">
        <v>266</v>
      </c>
      <c r="F444" s="1588"/>
      <c r="G444" s="1588"/>
      <c r="H444" s="1588"/>
      <c r="I444" s="1318">
        <f>'Statewide Ref Dispostion'!AN$30</f>
        <v>0.11329664889249251</v>
      </c>
      <c r="J444" s="1146">
        <f>'Statewide SCE REF NTG'!I36</f>
        <v>958.28708348749888</v>
      </c>
      <c r="K444" s="1118">
        <f>'Statewide SCE REF NTG'!K36</f>
        <v>0.96779020000000004</v>
      </c>
      <c r="L444" s="1146">
        <f>'Statewide SCE REF NTG'!M36</f>
        <v>954</v>
      </c>
      <c r="M444" s="1146">
        <f>'Statewide SCE REF NTG'!O36</f>
        <v>391</v>
      </c>
      <c r="N444" s="1118">
        <f>'Statewide SCE REF NTG'!Q36</f>
        <v>0.99386539898448878</v>
      </c>
      <c r="O444" s="1146">
        <f>'Statewide SCE REF NTG'!S36</f>
        <v>390</v>
      </c>
      <c r="P444" s="1146">
        <f>'Statewide SCE REF NTG'!U36</f>
        <v>564</v>
      </c>
      <c r="Z444" s="1047"/>
    </row>
    <row r="445" spans="1:26">
      <c r="A445" s="786"/>
      <c r="C445" s="1613" t="s">
        <v>5</v>
      </c>
      <c r="D445" s="1614"/>
      <c r="E445" s="1614"/>
      <c r="F445" s="1614"/>
      <c r="G445" s="1614"/>
      <c r="H445" s="1615"/>
      <c r="I445" s="1319">
        <f>'Statewide Ref Dispostion'!AN$31</f>
        <v>0.99446916635964477</v>
      </c>
      <c r="J445" s="1235">
        <f>'Statewide SCE REF NTG'!I37</f>
        <v>958.28708348749876</v>
      </c>
      <c r="K445" s="1236">
        <f>'Statewide SCE REF NTG'!K37</f>
        <v>0.95454522356406535</v>
      </c>
      <c r="L445" s="1235">
        <f>'Statewide SCE REF NTG'!M37</f>
        <v>922.17992339126772</v>
      </c>
      <c r="M445" s="1235">
        <f>'Statewide SCE REF NTG'!O37</f>
        <v>557.93040594587467</v>
      </c>
      <c r="N445" s="1236">
        <f>'Statewide SCE REF NTG'!Q37</f>
        <v>0.83054794637932017</v>
      </c>
      <c r="O445" s="1235">
        <f>'Statewide SCE REF NTG'!S37</f>
        <v>403.51796071548949</v>
      </c>
      <c r="P445" s="1235">
        <f>'Statewide SCE REF NTG'!U37</f>
        <v>518.661962675778</v>
      </c>
      <c r="Z445" s="1047"/>
    </row>
    <row r="446" spans="1:26">
      <c r="A446" s="786"/>
      <c r="Z446" s="1047"/>
    </row>
    <row r="447" spans="1:26">
      <c r="A447" s="786"/>
      <c r="Z447" s="1047"/>
    </row>
    <row r="448" spans="1:26">
      <c r="A448" s="786"/>
      <c r="Z448" s="1047"/>
    </row>
    <row r="449" spans="1:26">
      <c r="A449" s="786"/>
      <c r="C449" s="822" t="s">
        <v>911</v>
      </c>
      <c r="Z449" s="1047"/>
    </row>
    <row r="450" spans="1:26" ht="15" customHeight="1">
      <c r="A450" s="786"/>
      <c r="C450" s="1619" t="s">
        <v>519</v>
      </c>
      <c r="D450" s="1619"/>
      <c r="E450" s="1619"/>
      <c r="F450" s="1619"/>
      <c r="G450" s="1619"/>
      <c r="H450" s="1619"/>
      <c r="I450" s="1606" t="s">
        <v>904</v>
      </c>
      <c r="J450" s="1608" t="s">
        <v>900</v>
      </c>
      <c r="K450" s="1608"/>
      <c r="L450" s="1608"/>
      <c r="M450" s="1608" t="s">
        <v>901</v>
      </c>
      <c r="N450" s="1608"/>
      <c r="O450" s="1608"/>
      <c r="P450" s="1617" t="s">
        <v>531</v>
      </c>
      <c r="Z450" s="1047"/>
    </row>
    <row r="451" spans="1:26">
      <c r="A451" s="786"/>
      <c r="C451" s="1619"/>
      <c r="D451" s="1619"/>
      <c r="E451" s="1619"/>
      <c r="F451" s="1619"/>
      <c r="G451" s="1619"/>
      <c r="H451" s="1619"/>
      <c r="I451" s="1607"/>
      <c r="J451" s="1172" t="s">
        <v>905</v>
      </c>
      <c r="K451" s="1172" t="s">
        <v>857</v>
      </c>
      <c r="L451" s="1172" t="s">
        <v>902</v>
      </c>
      <c r="M451" s="1172" t="s">
        <v>905</v>
      </c>
      <c r="N451" s="1172" t="s">
        <v>857</v>
      </c>
      <c r="O451" s="1172" t="s">
        <v>902</v>
      </c>
      <c r="P451" s="1618"/>
      <c r="Z451" s="1047"/>
    </row>
    <row r="452" spans="1:26">
      <c r="A452" s="786"/>
      <c r="C452" s="1619"/>
      <c r="D452" s="1619"/>
      <c r="E452" s="1619"/>
      <c r="F452" s="1619"/>
      <c r="G452" s="1619"/>
      <c r="H452" s="1619"/>
      <c r="I452" s="1233" t="s">
        <v>520</v>
      </c>
      <c r="J452" s="1237" t="s">
        <v>521</v>
      </c>
      <c r="K452" s="1237" t="s">
        <v>522</v>
      </c>
      <c r="L452" s="1237" t="s">
        <v>523</v>
      </c>
      <c r="M452" s="1237" t="s">
        <v>524</v>
      </c>
      <c r="N452" s="1237" t="s">
        <v>525</v>
      </c>
      <c r="O452" s="1237" t="s">
        <v>526</v>
      </c>
      <c r="P452" s="1237" t="s">
        <v>903</v>
      </c>
      <c r="Z452" s="1047"/>
    </row>
    <row r="453" spans="1:26">
      <c r="A453" s="786"/>
      <c r="C453" s="1575" t="s">
        <v>267</v>
      </c>
      <c r="D453" s="1575"/>
      <c r="E453" s="1575"/>
      <c r="F453" s="1575"/>
      <c r="G453" s="1575"/>
      <c r="H453" s="1575"/>
      <c r="I453" s="1318">
        <f>'Statewide Ref Dispostion'!AN$8</f>
        <v>0.136803497976</v>
      </c>
      <c r="J453" s="1146">
        <f>'Statewide SDGE REF NTG'!I14</f>
        <v>853</v>
      </c>
      <c r="K453" s="1118">
        <f>'Statewide SDGE REF NTG'!K14</f>
        <v>0.95104949999999999</v>
      </c>
      <c r="L453" s="1146">
        <f>'Statewide SDGE REF NTG'!M14</f>
        <v>811.24522349999995</v>
      </c>
      <c r="M453" s="1146">
        <f>'Statewide SDGE REF NTG'!O14</f>
        <v>853</v>
      </c>
      <c r="N453" s="1118">
        <f>'Statewide SDGE REF NTG'!Q14</f>
        <v>0</v>
      </c>
      <c r="O453" s="1146">
        <f>'Statewide SDGE REF NTG'!S14</f>
        <v>0</v>
      </c>
      <c r="P453" s="1146">
        <f>'Statewide SDGE REF NTG'!U14</f>
        <v>811.24522349999995</v>
      </c>
      <c r="Z453" s="1047"/>
    </row>
    <row r="454" spans="1:26">
      <c r="A454" s="786"/>
      <c r="C454" s="1575" t="s">
        <v>268</v>
      </c>
      <c r="D454" s="1575"/>
      <c r="E454" s="1575"/>
      <c r="F454" s="1575"/>
      <c r="G454" s="1575"/>
      <c r="H454" s="1575"/>
      <c r="I454" s="1318">
        <f>'Statewide Ref Dispostion'!AN$9</f>
        <v>2.3024502023999999E-2</v>
      </c>
      <c r="J454" s="1146">
        <f>'Statewide SDGE REF NTG'!I15</f>
        <v>853</v>
      </c>
      <c r="K454" s="1118">
        <f>'Statewide SDGE REF NTG'!K15</f>
        <v>0</v>
      </c>
      <c r="L454" s="1146">
        <f>'Statewide SDGE REF NTG'!M15</f>
        <v>0</v>
      </c>
      <c r="M454" s="1146">
        <f>'Statewide SDGE REF NTG'!O15</f>
        <v>853</v>
      </c>
      <c r="N454" s="1118">
        <f>'Statewide SDGE REF NTG'!Q15</f>
        <v>0</v>
      </c>
      <c r="O454" s="1146">
        <f>'Statewide SDGE REF NTG'!S15</f>
        <v>0</v>
      </c>
      <c r="P454" s="1146">
        <f>'Statewide SDGE REF NTG'!U15</f>
        <v>0</v>
      </c>
      <c r="Z454" s="1047"/>
    </row>
    <row r="455" spans="1:26">
      <c r="A455" s="786"/>
      <c r="C455" s="1583" t="s">
        <v>340</v>
      </c>
      <c r="D455" s="1602" t="s">
        <v>133</v>
      </c>
      <c r="E455" s="1603"/>
      <c r="F455" s="1603"/>
      <c r="G455" s="1603"/>
      <c r="H455" s="1604"/>
      <c r="I455" s="1318">
        <f>'Statewide Ref Dispostion'!AN$10</f>
        <v>0.18151916060000001</v>
      </c>
      <c r="J455" s="1146">
        <f>'Statewide SDGE REF NTG'!I16</f>
        <v>853</v>
      </c>
      <c r="K455" s="1118">
        <f>'Statewide SDGE REF NTG'!K16</f>
        <v>0.99</v>
      </c>
      <c r="L455" s="1146">
        <f>'Statewide SDGE REF NTG'!M16</f>
        <v>804</v>
      </c>
      <c r="M455" s="1146">
        <f>'Statewide SDGE REF NTG'!O16</f>
        <v>423</v>
      </c>
      <c r="N455" s="1118">
        <f>'Statewide SDGE REF NTG'!Q16</f>
        <v>9.9000000000000005E-2</v>
      </c>
      <c r="O455" s="1146">
        <f>'Statewide SDGE REF NTG'!S16</f>
        <v>420</v>
      </c>
      <c r="P455" s="1146">
        <f>'Statewide SDGE REF NTG'!U16</f>
        <v>384</v>
      </c>
      <c r="Z455" s="1047"/>
    </row>
    <row r="456" spans="1:26">
      <c r="A456" s="786"/>
      <c r="C456" s="1583"/>
      <c r="D456" s="1592" t="s">
        <v>341</v>
      </c>
      <c r="E456" s="1592" t="s">
        <v>342</v>
      </c>
      <c r="F456" s="1575" t="s">
        <v>344</v>
      </c>
      <c r="G456" s="1575"/>
      <c r="H456" s="1575"/>
      <c r="I456" s="1318">
        <f>'Statewide Ref Dispostion'!AN$11</f>
        <v>1.1642391561073492E-2</v>
      </c>
      <c r="J456" s="1146">
        <f>'Statewide SDGE REF NTG'!I17</f>
        <v>853</v>
      </c>
      <c r="K456" s="1118">
        <f>'Statewide SDGE REF NTG'!K17</f>
        <v>1</v>
      </c>
      <c r="L456" s="1146">
        <f>'Statewide SDGE REF NTG'!M17</f>
        <v>853</v>
      </c>
      <c r="M456" s="1146">
        <f>'Statewide SDGE REF NTG'!O17</f>
        <v>724</v>
      </c>
      <c r="N456" s="1118">
        <f>'Statewide SDGE REF NTG'!Q17</f>
        <v>1</v>
      </c>
      <c r="O456" s="1146">
        <f>'Statewide SDGE REF NTG'!S17</f>
        <v>724</v>
      </c>
      <c r="P456" s="1146">
        <f>'Statewide SDGE REF NTG'!U17</f>
        <v>129</v>
      </c>
      <c r="Z456" s="1047"/>
    </row>
    <row r="457" spans="1:26">
      <c r="A457" s="786"/>
      <c r="C457" s="1583"/>
      <c r="D457" s="1593"/>
      <c r="E457" s="1593"/>
      <c r="F457" s="1575" t="s">
        <v>345</v>
      </c>
      <c r="G457" s="1575"/>
      <c r="H457" s="1575"/>
      <c r="I457" s="1318">
        <f>'Statewide Ref Dispostion'!AN$12</f>
        <v>9.9035037548185934E-2</v>
      </c>
      <c r="J457" s="1146">
        <f>'Statewide SDGE REF NTG'!I18</f>
        <v>853</v>
      </c>
      <c r="K457" s="1118">
        <f>'Statewide SDGE REF NTG'!K18</f>
        <v>1</v>
      </c>
      <c r="L457" s="1146">
        <f>'Statewide SDGE REF NTG'!M18</f>
        <v>853</v>
      </c>
      <c r="M457" s="1146">
        <f>'Statewide SDGE REF NTG'!O18</f>
        <v>660</v>
      </c>
      <c r="N457" s="1118">
        <f>'Statewide SDGE REF NTG'!Q18</f>
        <v>1</v>
      </c>
      <c r="O457" s="1146">
        <f>'Statewide SDGE REF NTG'!S18</f>
        <v>660</v>
      </c>
      <c r="P457" s="1146">
        <f>'Statewide SDGE REF NTG'!U18</f>
        <v>193</v>
      </c>
      <c r="Z457" s="1047"/>
    </row>
    <row r="458" spans="1:26">
      <c r="A458" s="786"/>
      <c r="C458" s="1583"/>
      <c r="D458" s="1593"/>
      <c r="E458" s="1593"/>
      <c r="F458" s="1575" t="s">
        <v>346</v>
      </c>
      <c r="G458" s="1575"/>
      <c r="H458" s="1575"/>
      <c r="I458" s="1318">
        <f>'Statewide Ref Dispostion'!AN$13</f>
        <v>8.4221478298931493E-2</v>
      </c>
      <c r="J458" s="1146">
        <f>'Statewide SDGE REF NTG'!I19</f>
        <v>853</v>
      </c>
      <c r="K458" s="1118">
        <f>'Statewide SDGE REF NTG'!K19</f>
        <v>1</v>
      </c>
      <c r="L458" s="1146">
        <f>'Statewide SDGE REF NTG'!M19</f>
        <v>853</v>
      </c>
      <c r="M458" s="1146">
        <f>'Statewide SDGE REF NTG'!O19</f>
        <v>452</v>
      </c>
      <c r="N458" s="1118">
        <f>'Statewide SDGE REF NTG'!Q19</f>
        <v>1</v>
      </c>
      <c r="O458" s="1146">
        <f>'Statewide SDGE REF NTG'!S19</f>
        <v>452</v>
      </c>
      <c r="P458" s="1146">
        <f>'Statewide SDGE REF NTG'!U19</f>
        <v>401</v>
      </c>
      <c r="Z458" s="1047"/>
    </row>
    <row r="459" spans="1:26">
      <c r="A459" s="786"/>
      <c r="C459" s="1583"/>
      <c r="D459" s="1593"/>
      <c r="E459" s="1593"/>
      <c r="F459" s="1605" t="s">
        <v>494</v>
      </c>
      <c r="G459" s="1605"/>
      <c r="H459" s="774" t="s">
        <v>509</v>
      </c>
      <c r="I459" s="1318">
        <f>'Statewide Ref Dispostion'!AN$14</f>
        <v>5.1842432725117987E-2</v>
      </c>
      <c r="J459" s="1146">
        <f>'Statewide SDGE REF NTG'!I20</f>
        <v>853</v>
      </c>
      <c r="K459" s="1118">
        <f>'Statewide SDGE REF NTG'!K20</f>
        <v>1</v>
      </c>
      <c r="L459" s="1146">
        <f>'Statewide SDGE REF NTG'!M20</f>
        <v>853</v>
      </c>
      <c r="M459" s="1146">
        <f>'Statewide SDGE REF NTG'!O20</f>
        <v>760.4</v>
      </c>
      <c r="N459" s="1118">
        <f>'Statewide SDGE REF NTG'!Q20</f>
        <v>1</v>
      </c>
      <c r="O459" s="1146">
        <f>'Statewide SDGE REF NTG'!S20</f>
        <v>760.4</v>
      </c>
      <c r="P459" s="1146">
        <f>'Statewide SDGE REF NTG'!U20</f>
        <v>92.600000000000023</v>
      </c>
      <c r="Z459" s="1047"/>
    </row>
    <row r="460" spans="1:26">
      <c r="A460" s="786"/>
      <c r="C460" s="1583"/>
      <c r="D460" s="1593"/>
      <c r="E460" s="1594"/>
      <c r="F460" s="1605"/>
      <c r="G460" s="1605"/>
      <c r="H460" s="774" t="s">
        <v>511</v>
      </c>
      <c r="I460" s="1318">
        <f>'Statewide Ref Dispostion'!AN$15</f>
        <v>1.4023771042849197E-2</v>
      </c>
      <c r="J460" s="1146">
        <f>'Statewide SDGE REF NTG'!I21</f>
        <v>853</v>
      </c>
      <c r="K460" s="1118">
        <f>'Statewide SDGE REF NTG'!K21</f>
        <v>0.95104949999999999</v>
      </c>
      <c r="L460" s="1146">
        <f>'Statewide SDGE REF NTG'!M21</f>
        <v>811.24522349999995</v>
      </c>
      <c r="M460" s="1146">
        <f>'Statewide SDGE REF NTG'!O21</f>
        <v>0</v>
      </c>
      <c r="N460" s="1118">
        <f>'Statewide SDGE REF NTG'!Q21</f>
        <v>0.95104949999999999</v>
      </c>
      <c r="O460" s="1146">
        <f>'Statewide SDGE REF NTG'!S21</f>
        <v>0</v>
      </c>
      <c r="P460" s="1146">
        <f>'Statewide SDGE REF NTG'!U21</f>
        <v>811.24522349999995</v>
      </c>
      <c r="Z460" s="1047"/>
    </row>
    <row r="461" spans="1:26">
      <c r="A461" s="786"/>
      <c r="C461" s="1583"/>
      <c r="D461" s="1593"/>
      <c r="E461" s="1592" t="s">
        <v>343</v>
      </c>
      <c r="F461" s="1575" t="s">
        <v>344</v>
      </c>
      <c r="G461" s="1575"/>
      <c r="H461" s="1575"/>
      <c r="I461" s="1318">
        <f>'Statewide Ref Dispostion'!AN$16</f>
        <v>4.3865910057667235E-3</v>
      </c>
      <c r="J461" s="1146">
        <f>'Statewide SDGE REF NTG'!I22</f>
        <v>853</v>
      </c>
      <c r="K461" s="1118">
        <f>'Statewide SDGE REF NTG'!K22</f>
        <v>0.95104949999999999</v>
      </c>
      <c r="L461" s="1146">
        <f>'Statewide SDGE REF NTG'!M22</f>
        <v>811.24522349999995</v>
      </c>
      <c r="M461" s="1146">
        <f>'Statewide SDGE REF NTG'!O22</f>
        <v>724</v>
      </c>
      <c r="N461" s="1118">
        <f>'Statewide SDGE REF NTG'!Q22</f>
        <v>0.95104949999999999</v>
      </c>
      <c r="O461" s="1146">
        <f>'Statewide SDGE REF NTG'!S22</f>
        <v>688.55983800000001</v>
      </c>
      <c r="P461" s="1146">
        <f>'Statewide SDGE REF NTG'!U22</f>
        <v>122.68538549999994</v>
      </c>
      <c r="Z461" s="1047"/>
    </row>
    <row r="462" spans="1:26">
      <c r="A462" s="786"/>
      <c r="C462" s="1583"/>
      <c r="D462" s="1593"/>
      <c r="E462" s="1593"/>
      <c r="F462" s="1575" t="s">
        <v>345</v>
      </c>
      <c r="G462" s="1575"/>
      <c r="H462" s="1575"/>
      <c r="I462" s="1318">
        <f>'Statewide Ref Dispostion'!AN$17</f>
        <v>2.0012557038668416E-2</v>
      </c>
      <c r="J462" s="1146">
        <f>'Statewide SDGE REF NTG'!I23</f>
        <v>853</v>
      </c>
      <c r="K462" s="1118">
        <f>'Statewide SDGE REF NTG'!K23</f>
        <v>0.95104949999999999</v>
      </c>
      <c r="L462" s="1146">
        <f>'Statewide SDGE REF NTG'!M23</f>
        <v>811.24522349999995</v>
      </c>
      <c r="M462" s="1146">
        <f>'Statewide SDGE REF NTG'!O23</f>
        <v>660</v>
      </c>
      <c r="N462" s="1118">
        <f>'Statewide SDGE REF NTG'!Q23</f>
        <v>0.95104949999999999</v>
      </c>
      <c r="O462" s="1146">
        <f>'Statewide SDGE REF NTG'!S23</f>
        <v>627.69267000000002</v>
      </c>
      <c r="P462" s="1146">
        <f>'Statewide SDGE REF NTG'!U23</f>
        <v>183.55255349999993</v>
      </c>
      <c r="Z462" s="1047"/>
    </row>
    <row r="463" spans="1:26">
      <c r="A463" s="786"/>
      <c r="C463" s="1583"/>
      <c r="D463" s="1593"/>
      <c r="E463" s="1593"/>
      <c r="F463" s="1575" t="s">
        <v>346</v>
      </c>
      <c r="G463" s="1575"/>
      <c r="H463" s="1575"/>
      <c r="I463" s="1318">
        <f>'Statewide Ref Dispostion'!AN$18</f>
        <v>1.2032597130769086E-2</v>
      </c>
      <c r="J463" s="1146">
        <f>'Statewide SDGE REF NTG'!I24</f>
        <v>853</v>
      </c>
      <c r="K463" s="1118">
        <f>'Statewide SDGE REF NTG'!K24</f>
        <v>0.95104949999999999</v>
      </c>
      <c r="L463" s="1146">
        <f>'Statewide SDGE REF NTG'!M24</f>
        <v>811.24522349999995</v>
      </c>
      <c r="M463" s="1146">
        <f>'Statewide SDGE REF NTG'!O24</f>
        <v>452</v>
      </c>
      <c r="N463" s="1118">
        <f>'Statewide SDGE REF NTG'!Q24</f>
        <v>0.95104949999999999</v>
      </c>
      <c r="O463" s="1146">
        <f>'Statewide SDGE REF NTG'!S24</f>
        <v>429.87437399999999</v>
      </c>
      <c r="P463" s="1146">
        <f>'Statewide SDGE REF NTG'!U24</f>
        <v>381.37084949999996</v>
      </c>
      <c r="Z463" s="1047"/>
    </row>
    <row r="464" spans="1:26">
      <c r="A464" s="786"/>
      <c r="C464" s="1583"/>
      <c r="D464" s="1594"/>
      <c r="E464" s="1594"/>
      <c r="F464" s="1575" t="s">
        <v>347</v>
      </c>
      <c r="G464" s="1575"/>
      <c r="H464" s="1575"/>
      <c r="I464" s="1318">
        <f>'Statewide Ref Dispostion'!AN$19</f>
        <v>3.6340924882971623E-2</v>
      </c>
      <c r="J464" s="1146">
        <f>'Statewide SDGE REF NTG'!I25</f>
        <v>853</v>
      </c>
      <c r="K464" s="1118">
        <f>'Statewide SDGE REF NTG'!K25</f>
        <v>0.95104949999999999</v>
      </c>
      <c r="L464" s="1146">
        <f>'Statewide SDGE REF NTG'!M25</f>
        <v>811.24522349999995</v>
      </c>
      <c r="M464" s="1146">
        <f>'Statewide SDGE REF NTG'!O25</f>
        <v>0</v>
      </c>
      <c r="N464" s="1118">
        <f>'Statewide SDGE REF NTG'!Q25</f>
        <v>0.95104949999999999</v>
      </c>
      <c r="O464" s="1146">
        <f>'Statewide SDGE REF NTG'!S25</f>
        <v>0</v>
      </c>
      <c r="P464" s="1146">
        <f>'Statewide SDGE REF NTG'!U25</f>
        <v>811.24522349999995</v>
      </c>
      <c r="Z464" s="1047"/>
    </row>
    <row r="465" spans="1:26">
      <c r="A465" s="786"/>
      <c r="C465" s="1583"/>
      <c r="D465" s="1592" t="s">
        <v>88</v>
      </c>
      <c r="E465" s="1583" t="s">
        <v>348</v>
      </c>
      <c r="F465" s="1592" t="s">
        <v>342</v>
      </c>
      <c r="G465" s="1584" t="s">
        <v>345</v>
      </c>
      <c r="H465" s="1586"/>
      <c r="I465" s="1318">
        <f>'Statewide Ref Dispostion'!AN$20</f>
        <v>7.4297916790629318E-2</v>
      </c>
      <c r="J465" s="1146">
        <f>'Statewide SDGE REF NTG'!I26</f>
        <v>853</v>
      </c>
      <c r="K465" s="1118">
        <f>'Statewide SDGE REF NTG'!K26</f>
        <v>1</v>
      </c>
      <c r="L465" s="1146">
        <f>'Statewide SDGE REF NTG'!M26</f>
        <v>853</v>
      </c>
      <c r="M465" s="1146">
        <f>'Statewide SDGE REF NTG'!O26</f>
        <v>660</v>
      </c>
      <c r="N465" s="1118">
        <f>'Statewide SDGE REF NTG'!Q26</f>
        <v>1</v>
      </c>
      <c r="O465" s="1146">
        <f>'Statewide SDGE REF NTG'!S26</f>
        <v>660</v>
      </c>
      <c r="P465" s="1146">
        <f>'Statewide SDGE REF NTG'!U26</f>
        <v>193</v>
      </c>
      <c r="Z465" s="1047"/>
    </row>
    <row r="466" spans="1:26">
      <c r="A466" s="786"/>
      <c r="C466" s="1583"/>
      <c r="D466" s="1593"/>
      <c r="E466" s="1583"/>
      <c r="F466" s="1593"/>
      <c r="G466" s="1587" t="s">
        <v>346</v>
      </c>
      <c r="H466" s="1587"/>
      <c r="I466" s="1318">
        <f>'Statewide Ref Dispostion'!AN$21</f>
        <v>5.6951714683935721E-2</v>
      </c>
      <c r="J466" s="1146">
        <f>'Statewide SDGE REF NTG'!I27</f>
        <v>853</v>
      </c>
      <c r="K466" s="1118">
        <f>'Statewide SDGE REF NTG'!K27</f>
        <v>1</v>
      </c>
      <c r="L466" s="1146">
        <f>'Statewide SDGE REF NTG'!M27</f>
        <v>853</v>
      </c>
      <c r="M466" s="1146">
        <f>'Statewide SDGE REF NTG'!O27</f>
        <v>452</v>
      </c>
      <c r="N466" s="1118">
        <f>'Statewide SDGE REF NTG'!Q27</f>
        <v>1</v>
      </c>
      <c r="O466" s="1146">
        <f>'Statewide SDGE REF NTG'!S27</f>
        <v>452</v>
      </c>
      <c r="P466" s="1146">
        <f>'Statewide SDGE REF NTG'!U27</f>
        <v>401</v>
      </c>
      <c r="Z466" s="1047"/>
    </row>
    <row r="467" spans="1:26">
      <c r="A467" s="786"/>
      <c r="C467" s="1583"/>
      <c r="D467" s="1593"/>
      <c r="E467" s="1583"/>
      <c r="F467" s="1593"/>
      <c r="G467" s="1595" t="s">
        <v>495</v>
      </c>
      <c r="H467" s="774" t="s">
        <v>509</v>
      </c>
      <c r="I467" s="1318">
        <f>'Statewide Ref Dispostion'!AN$22</f>
        <v>3.297520714939247E-2</v>
      </c>
      <c r="J467" s="1146">
        <f>'Statewide SDGE REF NTG'!I28</f>
        <v>853</v>
      </c>
      <c r="K467" s="1118">
        <f>'Statewide SDGE REF NTG'!K28</f>
        <v>1</v>
      </c>
      <c r="L467" s="1146">
        <f>'Statewide SDGE REF NTG'!M28</f>
        <v>853</v>
      </c>
      <c r="M467" s="1146">
        <f>'Statewide SDGE REF NTG'!O28</f>
        <v>760.4</v>
      </c>
      <c r="N467" s="1118">
        <f>'Statewide SDGE REF NTG'!Q28</f>
        <v>1</v>
      </c>
      <c r="O467" s="1146">
        <f>'Statewide SDGE REF NTG'!S28</f>
        <v>760.4</v>
      </c>
      <c r="P467" s="1146">
        <f>'Statewide SDGE REF NTG'!U28</f>
        <v>92.600000000000023</v>
      </c>
      <c r="Z467" s="1047"/>
    </row>
    <row r="468" spans="1:26">
      <c r="A468" s="786"/>
      <c r="C468" s="1583"/>
      <c r="D468" s="1593"/>
      <c r="E468" s="1583"/>
      <c r="F468" s="1594"/>
      <c r="G468" s="1596"/>
      <c r="H468" s="774" t="s">
        <v>511</v>
      </c>
      <c r="I468" s="1318">
        <f>'Statewide Ref Dispostion'!AN$23</f>
        <v>2.8933750518450236E-3</v>
      </c>
      <c r="J468" s="1146">
        <f>'Statewide SDGE REF NTG'!I29</f>
        <v>853</v>
      </c>
      <c r="K468" s="1118">
        <f>'Statewide SDGE REF NTG'!K29</f>
        <v>0.95104949999999999</v>
      </c>
      <c r="L468" s="1146">
        <f>'Statewide SDGE REF NTG'!M29</f>
        <v>811.24522349999995</v>
      </c>
      <c r="M468" s="1146">
        <f>'Statewide SDGE REF NTG'!O29</f>
        <v>0</v>
      </c>
      <c r="N468" s="1118">
        <f>'Statewide SDGE REF NTG'!Q29</f>
        <v>0.95104949999999999</v>
      </c>
      <c r="O468" s="1146">
        <f>'Statewide SDGE REF NTG'!S29</f>
        <v>0</v>
      </c>
      <c r="P468" s="1146">
        <f>'Statewide SDGE REF NTG'!U29</f>
        <v>811.24522349999995</v>
      </c>
      <c r="Z468" s="1047"/>
    </row>
    <row r="469" spans="1:26">
      <c r="A469" s="786"/>
      <c r="C469" s="1583"/>
      <c r="D469" s="1593"/>
      <c r="E469" s="1583"/>
      <c r="F469" s="1597" t="s">
        <v>343</v>
      </c>
      <c r="G469" s="1600" t="s">
        <v>345</v>
      </c>
      <c r="H469" s="1601"/>
      <c r="I469" s="1318">
        <f>'Statewide Ref Dispostion'!AN$24</f>
        <v>9.318003797670742E-3</v>
      </c>
      <c r="J469" s="1146">
        <f>'Statewide SDGE REF NTG'!I30</f>
        <v>853</v>
      </c>
      <c r="K469" s="1118">
        <f>'Statewide SDGE REF NTG'!K30</f>
        <v>0.95104949999999999</v>
      </c>
      <c r="L469" s="1146">
        <f>'Statewide SDGE REF NTG'!M30</f>
        <v>811.24522349999995</v>
      </c>
      <c r="M469" s="1146">
        <f>'Statewide SDGE REF NTG'!O30</f>
        <v>660</v>
      </c>
      <c r="N469" s="1118">
        <f>'Statewide SDGE REF NTG'!Q30</f>
        <v>0.95104949999999999</v>
      </c>
      <c r="O469" s="1146">
        <f>'Statewide SDGE REF NTG'!S30</f>
        <v>627.69267000000002</v>
      </c>
      <c r="P469" s="1146">
        <f>'Statewide SDGE REF NTG'!U30</f>
        <v>183.55255349999993</v>
      </c>
      <c r="Z469" s="1047"/>
    </row>
    <row r="470" spans="1:26">
      <c r="A470" s="786"/>
      <c r="C470" s="1583"/>
      <c r="D470" s="1593"/>
      <c r="E470" s="1583"/>
      <c r="F470" s="1598"/>
      <c r="G470" s="1587" t="s">
        <v>346</v>
      </c>
      <c r="H470" s="1587"/>
      <c r="I470" s="1318">
        <f>'Statewide Ref Dispostion'!AN$25</f>
        <v>5.3098210650899032E-3</v>
      </c>
      <c r="J470" s="1146">
        <f>'Statewide SDGE REF NTG'!I31</f>
        <v>853</v>
      </c>
      <c r="K470" s="1118">
        <f>'Statewide SDGE REF NTG'!K31</f>
        <v>0.95104949999999999</v>
      </c>
      <c r="L470" s="1146">
        <f>'Statewide SDGE REF NTG'!M31</f>
        <v>811.24522349999995</v>
      </c>
      <c r="M470" s="1146">
        <f>'Statewide SDGE REF NTG'!O31</f>
        <v>452</v>
      </c>
      <c r="N470" s="1118">
        <f>'Statewide SDGE REF NTG'!Q31</f>
        <v>0.95104949999999999</v>
      </c>
      <c r="O470" s="1146">
        <f>'Statewide SDGE REF NTG'!S31</f>
        <v>429.87437399999999</v>
      </c>
      <c r="P470" s="1146">
        <f>'Statewide SDGE REF NTG'!U31</f>
        <v>381.37084949999996</v>
      </c>
      <c r="Z470" s="1047"/>
    </row>
    <row r="471" spans="1:26">
      <c r="A471" s="786"/>
      <c r="C471" s="1583"/>
      <c r="D471" s="1593"/>
      <c r="E471" s="1583"/>
      <c r="F471" s="1599"/>
      <c r="G471" s="1587" t="s">
        <v>347</v>
      </c>
      <c r="H471" s="1587"/>
      <c r="I471" s="1318">
        <f>'Statewide Ref Dispostion'!AN$26</f>
        <v>1.1841082338023101E-3</v>
      </c>
      <c r="J471" s="1146">
        <f>'Statewide SDGE REF NTG'!I32</f>
        <v>853</v>
      </c>
      <c r="K471" s="1118">
        <f>'Statewide SDGE REF NTG'!K32</f>
        <v>0.95104949999999999</v>
      </c>
      <c r="L471" s="1146">
        <f>'Statewide SDGE REF NTG'!M32</f>
        <v>811.24522349999995</v>
      </c>
      <c r="M471" s="1146">
        <f>'Statewide SDGE REF NTG'!O32</f>
        <v>0</v>
      </c>
      <c r="N471" s="1118">
        <f>'Statewide SDGE REF NTG'!Q32</f>
        <v>0.95104949999999999</v>
      </c>
      <c r="O471" s="1146">
        <f>'Statewide SDGE REF NTG'!S32</f>
        <v>0</v>
      </c>
      <c r="P471" s="1146">
        <f>'Statewide SDGE REF NTG'!U32</f>
        <v>811.24522349999995</v>
      </c>
      <c r="Z471" s="1047"/>
    </row>
    <row r="472" spans="1:26">
      <c r="A472" s="786"/>
      <c r="C472" s="1583"/>
      <c r="D472" s="1593"/>
      <c r="E472" s="1583" t="s">
        <v>342</v>
      </c>
      <c r="F472" s="1584" t="s">
        <v>349</v>
      </c>
      <c r="G472" s="1585"/>
      <c r="H472" s="1586"/>
      <c r="I472" s="1318">
        <f>'Statewide Ref Dispostion'!AN$27</f>
        <v>1.105280935239851E-2</v>
      </c>
      <c r="J472" s="1146">
        <f>'Statewide SDGE REF NTG'!I33</f>
        <v>853</v>
      </c>
      <c r="K472" s="1118">
        <f>'Statewide SDGE REF NTG'!K33</f>
        <v>1</v>
      </c>
      <c r="L472" s="1146">
        <f>'Statewide SDGE REF NTG'!M33</f>
        <v>853</v>
      </c>
      <c r="M472" s="1146">
        <f>'Statewide SDGE REF NTG'!O33</f>
        <v>660</v>
      </c>
      <c r="N472" s="1118">
        <f>'Statewide SDGE REF NTG'!Q33</f>
        <v>1</v>
      </c>
      <c r="O472" s="1146">
        <f>'Statewide SDGE REF NTG'!S33</f>
        <v>660</v>
      </c>
      <c r="P472" s="1146">
        <f>'Statewide SDGE REF NTG'!U33</f>
        <v>193</v>
      </c>
      <c r="Z472" s="1047"/>
    </row>
    <row r="473" spans="1:26">
      <c r="A473" s="786"/>
      <c r="C473" s="1583"/>
      <c r="D473" s="1593"/>
      <c r="E473" s="1583"/>
      <c r="F473" s="1575" t="s">
        <v>350</v>
      </c>
      <c r="G473" s="1575"/>
      <c r="H473" s="1575"/>
      <c r="I473" s="1318">
        <f>'Statewide Ref Dispostion'!AN$28</f>
        <v>5.6345838280219213E-3</v>
      </c>
      <c r="J473" s="1146">
        <f>'Statewide SDGE REF NTG'!I34</f>
        <v>853</v>
      </c>
      <c r="K473" s="1118">
        <f>'Statewide SDGE REF NTG'!K34</f>
        <v>1</v>
      </c>
      <c r="L473" s="1146">
        <f>'Statewide SDGE REF NTG'!M34</f>
        <v>853</v>
      </c>
      <c r="M473" s="1146">
        <f>'Statewide SDGE REF NTG'!O34</f>
        <v>660</v>
      </c>
      <c r="N473" s="1118">
        <f>'Statewide SDGE REF NTG'!Q34</f>
        <v>1</v>
      </c>
      <c r="O473" s="1146">
        <f>'Statewide SDGE REF NTG'!S34</f>
        <v>660</v>
      </c>
      <c r="P473" s="1146">
        <f>'Statewide SDGE REF NTG'!U34</f>
        <v>193</v>
      </c>
      <c r="Z473" s="1047"/>
    </row>
    <row r="474" spans="1:26">
      <c r="A474" s="786"/>
      <c r="C474" s="1583"/>
      <c r="D474" s="1593"/>
      <c r="E474" s="1583"/>
      <c r="F474" s="1575" t="s">
        <v>57</v>
      </c>
      <c r="G474" s="1575"/>
      <c r="H474" s="1575"/>
      <c r="I474" s="1318">
        <f>'Statewide Ref Dispostion'!AN$29</f>
        <v>6.6700356800320753E-3</v>
      </c>
      <c r="J474" s="1146">
        <f>'Statewide SDGE REF NTG'!I35</f>
        <v>853</v>
      </c>
      <c r="K474" s="1118">
        <f>'Statewide SDGE REF NTG'!K35</f>
        <v>1</v>
      </c>
      <c r="L474" s="1146">
        <f>'Statewide SDGE REF NTG'!M35</f>
        <v>853</v>
      </c>
      <c r="M474" s="1146">
        <f>'Statewide SDGE REF NTG'!O35</f>
        <v>660</v>
      </c>
      <c r="N474" s="1118">
        <f>'Statewide SDGE REF NTG'!Q35</f>
        <v>1</v>
      </c>
      <c r="O474" s="1146">
        <f>'Statewide SDGE REF NTG'!S35</f>
        <v>660</v>
      </c>
      <c r="P474" s="1146">
        <f>'Statewide SDGE REF NTG'!U35</f>
        <v>193</v>
      </c>
      <c r="Z474" s="1047"/>
    </row>
    <row r="475" spans="1:26">
      <c r="A475" s="786"/>
      <c r="C475" s="1583"/>
      <c r="D475" s="1593"/>
      <c r="E475" s="1588" t="s">
        <v>266</v>
      </c>
      <c r="F475" s="1588"/>
      <c r="G475" s="1588"/>
      <c r="H475" s="1588"/>
      <c r="I475" s="1318">
        <f>'Statewide Ref Dispostion'!AN$30</f>
        <v>0.11329664889249251</v>
      </c>
      <c r="J475" s="1146">
        <f>'Statewide SDGE REF NTG'!I36</f>
        <v>853</v>
      </c>
      <c r="K475" s="1118">
        <f>'Statewide SDGE REF NTG'!K36</f>
        <v>0.99</v>
      </c>
      <c r="L475" s="1146">
        <f>'Statewide SDGE REF NTG'!M36</f>
        <v>804</v>
      </c>
      <c r="M475" s="1146">
        <f>'Statewide SDGE REF NTG'!O36</f>
        <v>423</v>
      </c>
      <c r="N475" s="1118">
        <f>'Statewide SDGE REF NTG'!Q36</f>
        <v>0.99</v>
      </c>
      <c r="O475" s="1146">
        <f>'Statewide SDGE REF NTG'!S36</f>
        <v>420</v>
      </c>
      <c r="P475" s="1146">
        <f>'Statewide SDGE REF NTG'!U36</f>
        <v>384</v>
      </c>
      <c r="Z475" s="1047"/>
    </row>
    <row r="476" spans="1:26">
      <c r="A476" s="786"/>
      <c r="C476" s="1613" t="s">
        <v>5</v>
      </c>
      <c r="D476" s="1614"/>
      <c r="E476" s="1614"/>
      <c r="F476" s="1614"/>
      <c r="G476" s="1614"/>
      <c r="H476" s="1615"/>
      <c r="I476" s="1319">
        <f>'Statewide Ref Dispostion'!AN$31</f>
        <v>0.99446916635964477</v>
      </c>
      <c r="J476" s="1235">
        <f>'Statewide SDGE REF NTG'!I37</f>
        <v>852.99999999999955</v>
      </c>
      <c r="K476" s="1236">
        <f>'Statewide SDGE REF NTG'!K37</f>
        <v>0.95663554323641109</v>
      </c>
      <c r="L476" s="1235">
        <f>'Statewide SDGE REF NTG'!M37</f>
        <v>804.0789225704973</v>
      </c>
      <c r="M476" s="1235">
        <f>'Statewide SDGE REF NTG'!O37</f>
        <v>557.96356747057928</v>
      </c>
      <c r="N476" s="1236">
        <f>'Statewide SDGE REF NTG'!Q37</f>
        <v>0.66479507279348526</v>
      </c>
      <c r="O476" s="1235">
        <f>'Statewide SDGE REF NTG'!S37</f>
        <v>419.25907057926776</v>
      </c>
      <c r="P476" s="1235">
        <f>'Statewide SDGE REF NTG'!U37</f>
        <v>384.8198519912296</v>
      </c>
      <c r="Z476" s="1047"/>
    </row>
    <row r="477" spans="1:26">
      <c r="A477" s="786"/>
      <c r="Z477" s="1047"/>
    </row>
    <row r="478" spans="1:26">
      <c r="A478" s="786"/>
      <c r="C478" s="822" t="s">
        <v>912</v>
      </c>
      <c r="Z478" s="1047"/>
    </row>
    <row r="479" spans="1:26" ht="15" customHeight="1">
      <c r="A479" s="786"/>
      <c r="D479" s="1610" t="s">
        <v>519</v>
      </c>
      <c r="E479" s="1610"/>
      <c r="F479" s="1610"/>
      <c r="G479" s="1610"/>
      <c r="H479" s="1611"/>
      <c r="I479" s="1606" t="s">
        <v>904</v>
      </c>
      <c r="J479" s="1608" t="s">
        <v>900</v>
      </c>
      <c r="K479" s="1608"/>
      <c r="L479" s="1608"/>
      <c r="M479" s="1608" t="s">
        <v>901</v>
      </c>
      <c r="N479" s="1608"/>
      <c r="O479" s="1608"/>
      <c r="P479" s="1617" t="s">
        <v>531</v>
      </c>
      <c r="Y479" s="1047"/>
    </row>
    <row r="480" spans="1:26">
      <c r="A480" s="786"/>
      <c r="D480" s="1557"/>
      <c r="E480" s="1557"/>
      <c r="F480" s="1557"/>
      <c r="G480" s="1557"/>
      <c r="H480" s="1558"/>
      <c r="I480" s="1607"/>
      <c r="J480" s="1172" t="s">
        <v>905</v>
      </c>
      <c r="K480" s="1172" t="s">
        <v>857</v>
      </c>
      <c r="L480" s="1172" t="s">
        <v>902</v>
      </c>
      <c r="M480" s="1172" t="s">
        <v>905</v>
      </c>
      <c r="N480" s="1172" t="s">
        <v>857</v>
      </c>
      <c r="O480" s="1172" t="s">
        <v>902</v>
      </c>
      <c r="P480" s="1618"/>
      <c r="Y480" s="1047"/>
    </row>
    <row r="481" spans="1:26">
      <c r="A481" s="786"/>
      <c r="D481" s="1560"/>
      <c r="E481" s="1560"/>
      <c r="F481" s="1560"/>
      <c r="G481" s="1560"/>
      <c r="H481" s="1561"/>
      <c r="I481" s="1233" t="s">
        <v>520</v>
      </c>
      <c r="J481" s="1237" t="s">
        <v>521</v>
      </c>
      <c r="K481" s="1237" t="s">
        <v>522</v>
      </c>
      <c r="L481" s="1237" t="s">
        <v>523</v>
      </c>
      <c r="M481" s="1237" t="s">
        <v>524</v>
      </c>
      <c r="N481" s="1237" t="s">
        <v>525</v>
      </c>
      <c r="O481" s="1237" t="s">
        <v>526</v>
      </c>
      <c r="P481" s="1237" t="s">
        <v>903</v>
      </c>
      <c r="Y481" s="1047"/>
    </row>
    <row r="482" spans="1:26">
      <c r="A482" s="786"/>
      <c r="D482" s="1587" t="s">
        <v>267</v>
      </c>
      <c r="E482" s="1587"/>
      <c r="F482" s="1587"/>
      <c r="G482" s="1587"/>
      <c r="H482" s="1587"/>
      <c r="I482" s="1318">
        <f>'All IOU FRZ NTG'!U14</f>
        <v>0.14176194080000001</v>
      </c>
      <c r="J482" s="1146">
        <f>'All IOU FRZ NTG'!Z14</f>
        <v>1032.394209933032</v>
      </c>
      <c r="K482" s="1118">
        <f>'All IOU FRZ NTG'!AB14</f>
        <v>0.94486729999999997</v>
      </c>
      <c r="L482" s="1146">
        <f>'All IOU FRZ NTG'!AD14</f>
        <v>975.47552967505715</v>
      </c>
      <c r="M482" s="1146">
        <f>'All IOU FRZ NTG'!AF14</f>
        <v>1032.394209933032</v>
      </c>
      <c r="N482" s="1118">
        <f>'All IOU FRZ NTG'!AH14</f>
        <v>0</v>
      </c>
      <c r="O482" s="1146">
        <f>'All IOU FRZ NTG'!AJ14</f>
        <v>0</v>
      </c>
      <c r="P482" s="1146">
        <f>'All IOU FRZ NTG'!AL14</f>
        <v>975.47552967505715</v>
      </c>
      <c r="Z482" s="1047"/>
    </row>
    <row r="483" spans="1:26">
      <c r="A483" s="786"/>
      <c r="D483" s="1587" t="s">
        <v>268</v>
      </c>
      <c r="E483" s="1587"/>
      <c r="F483" s="1587"/>
      <c r="G483" s="1587"/>
      <c r="H483" s="1587"/>
      <c r="I483" s="1318">
        <f>'All IOU FRZ NTG'!U15</f>
        <v>1.8298059200000001E-2</v>
      </c>
      <c r="J483" s="1146">
        <f>'All IOU FRZ NTG'!Z15</f>
        <v>1032.394209933032</v>
      </c>
      <c r="K483" s="1118">
        <f>'All IOU FRZ NTG'!AB15</f>
        <v>0</v>
      </c>
      <c r="L483" s="1146">
        <f>'All IOU FRZ NTG'!AD15</f>
        <v>0</v>
      </c>
      <c r="M483" s="1146">
        <f>'All IOU FRZ NTG'!AF15</f>
        <v>1032.394209933032</v>
      </c>
      <c r="N483" s="1118">
        <f>'All IOU FRZ NTG'!AH15</f>
        <v>0</v>
      </c>
      <c r="O483" s="1146">
        <f>'All IOU FRZ NTG'!AJ15</f>
        <v>0</v>
      </c>
      <c r="P483" s="1146">
        <f>'All IOU FRZ NTG'!AL15</f>
        <v>0</v>
      </c>
      <c r="Z483" s="1047"/>
    </row>
    <row r="484" spans="1:26" ht="15" customHeight="1">
      <c r="A484" s="786"/>
      <c r="D484" s="1616" t="s">
        <v>340</v>
      </c>
      <c r="E484" s="1575" t="s">
        <v>133</v>
      </c>
      <c r="F484" s="1575"/>
      <c r="G484" s="1575"/>
      <c r="H484" s="1575"/>
      <c r="I484" s="1318">
        <f>'All IOU FRZ NTG'!U16</f>
        <v>0.12617494686</v>
      </c>
      <c r="J484" s="1146">
        <f>'All IOU FRZ NTG'!Z16</f>
        <v>1032.394209933032</v>
      </c>
      <c r="K484" s="1118">
        <f>'All IOU FRZ NTG'!AB16</f>
        <v>0.94486729999999985</v>
      </c>
      <c r="L484" s="1146">
        <f>'All IOU FRZ NTG'!AD16</f>
        <v>975.47552967505703</v>
      </c>
      <c r="M484" s="1146">
        <f>'All IOU FRZ NTG'!AF16</f>
        <v>235.26613102352528</v>
      </c>
      <c r="N484" s="1118">
        <f>'All IOU FRZ NTG'!AH16</f>
        <v>0.94486729999999985</v>
      </c>
      <c r="O484" s="1146">
        <f>'All IOU FRZ NTG'!AJ16</f>
        <v>222.29527400164454</v>
      </c>
      <c r="P484" s="1146">
        <f>'All IOU FRZ NTG'!AL16</f>
        <v>753.18025567341249</v>
      </c>
      <c r="Z484" s="1047"/>
    </row>
    <row r="485" spans="1:26" ht="15" customHeight="1">
      <c r="A485" s="786"/>
      <c r="D485" s="1616"/>
      <c r="E485" s="1612" t="s">
        <v>341</v>
      </c>
      <c r="F485" s="1612"/>
      <c r="G485" s="1587" t="s">
        <v>344</v>
      </c>
      <c r="H485" s="1587"/>
      <c r="I485" s="1318">
        <f>'All IOU FRZ NTG'!U17</f>
        <v>0</v>
      </c>
      <c r="J485" s="1146">
        <f>'All IOU FRZ NTG'!Z17</f>
        <v>1032.394209933032</v>
      </c>
      <c r="K485" s="1118">
        <f>'All IOU FRZ NTG'!AB17</f>
        <v>0.94486729999999997</v>
      </c>
      <c r="L485" s="1146">
        <f>'All IOU FRZ NTG'!AD17</f>
        <v>975.47552967505715</v>
      </c>
      <c r="M485" s="1146">
        <f>'All IOU FRZ NTG'!AF17</f>
        <v>782</v>
      </c>
      <c r="N485" s="1118">
        <f>'All IOU FRZ NTG'!AH17</f>
        <v>0.94486729999999997</v>
      </c>
      <c r="O485" s="1146">
        <f>'All IOU FRZ NTG'!AJ17</f>
        <v>738.88622859999998</v>
      </c>
      <c r="P485" s="1146">
        <f>'All IOU FRZ NTG'!AL17</f>
        <v>236.58930107505716</v>
      </c>
      <c r="Y485" s="1047"/>
    </row>
    <row r="486" spans="1:26">
      <c r="A486" s="786"/>
      <c r="D486" s="1616"/>
      <c r="E486" s="1612"/>
      <c r="F486" s="1612"/>
      <c r="G486" s="1575" t="s">
        <v>345</v>
      </c>
      <c r="H486" s="1575"/>
      <c r="I486" s="1318">
        <f>'All IOU FRZ NTG'!U18</f>
        <v>5.6488588347644642E-2</v>
      </c>
      <c r="J486" s="1146">
        <f>'All IOU FRZ NTG'!Z18</f>
        <v>1032.394209933032</v>
      </c>
      <c r="K486" s="1118">
        <f>'All IOU FRZ NTG'!AB18</f>
        <v>0.94486729999999997</v>
      </c>
      <c r="L486" s="1146">
        <f>'All IOU FRZ NTG'!AD18</f>
        <v>975.47552967505715</v>
      </c>
      <c r="M486" s="1146">
        <f>'All IOU FRZ NTG'!AF18</f>
        <v>744</v>
      </c>
      <c r="N486" s="1118">
        <f>'All IOU FRZ NTG'!AH18</f>
        <v>0.94486729999999997</v>
      </c>
      <c r="O486" s="1146">
        <f>'All IOU FRZ NTG'!AJ18</f>
        <v>702.98127119999992</v>
      </c>
      <c r="P486" s="1146">
        <f>'All IOU FRZ NTG'!AL18</f>
        <v>272.49425847505722</v>
      </c>
      <c r="Y486" s="1047"/>
    </row>
    <row r="487" spans="1:26">
      <c r="A487" s="786"/>
      <c r="D487" s="1616"/>
      <c r="E487" s="1612"/>
      <c r="F487" s="1612"/>
      <c r="G487" s="1575" t="s">
        <v>346</v>
      </c>
      <c r="H487" s="1575"/>
      <c r="I487" s="1318">
        <f>'All IOU FRZ NTG'!U19</f>
        <v>4.5324846533456163E-2</v>
      </c>
      <c r="J487" s="1146">
        <f>'All IOU FRZ NTG'!Z19</f>
        <v>1032.394209933032</v>
      </c>
      <c r="K487" s="1118">
        <f>'All IOU FRZ NTG'!AB19</f>
        <v>0.94486729999999997</v>
      </c>
      <c r="L487" s="1146">
        <f>'All IOU FRZ NTG'!AD19</f>
        <v>975.47552967505715</v>
      </c>
      <c r="M487" s="1146">
        <f>'All IOU FRZ NTG'!AF19</f>
        <v>443</v>
      </c>
      <c r="N487" s="1118">
        <f>'All IOU FRZ NTG'!AH19</f>
        <v>0.94486729999999997</v>
      </c>
      <c r="O487" s="1146">
        <f>'All IOU FRZ NTG'!AJ19</f>
        <v>418.57621389999997</v>
      </c>
      <c r="P487" s="1146">
        <f>'All IOU FRZ NTG'!AL19</f>
        <v>556.89931577505718</v>
      </c>
      <c r="Y487" s="1047"/>
    </row>
    <row r="488" spans="1:26">
      <c r="A488" s="786"/>
      <c r="D488" s="1616"/>
      <c r="E488" s="1612"/>
      <c r="F488" s="1612"/>
      <c r="G488" s="1575" t="s">
        <v>347</v>
      </c>
      <c r="H488" s="1575"/>
      <c r="I488" s="1318">
        <f>'All IOU FRZ NTG'!U20</f>
        <v>0.2404856334388992</v>
      </c>
      <c r="J488" s="1146">
        <f>'All IOU FRZ NTG'!Z20</f>
        <v>1032.394209933032</v>
      </c>
      <c r="K488" s="1118">
        <f>'All IOU FRZ NTG'!AB20</f>
        <v>0.94486729999999997</v>
      </c>
      <c r="L488" s="1146">
        <f>'All IOU FRZ NTG'!AD20</f>
        <v>975.47552967505715</v>
      </c>
      <c r="M488" s="1146">
        <f>'All IOU FRZ NTG'!AF20</f>
        <v>0</v>
      </c>
      <c r="N488" s="1118">
        <f>'All IOU FRZ NTG'!AH20</f>
        <v>0.94486729999999997</v>
      </c>
      <c r="O488" s="1146">
        <f>'All IOU FRZ NTG'!AJ20</f>
        <v>0</v>
      </c>
      <c r="P488" s="1146">
        <f>'All IOU FRZ NTG'!AL20</f>
        <v>975.47552967505715</v>
      </c>
      <c r="Y488" s="1047"/>
    </row>
    <row r="489" spans="1:26">
      <c r="A489" s="786"/>
      <c r="D489" s="1616"/>
      <c r="E489" s="1612" t="s">
        <v>88</v>
      </c>
      <c r="F489" s="1612" t="s">
        <v>348</v>
      </c>
      <c r="G489" s="1575" t="s">
        <v>345</v>
      </c>
      <c r="H489" s="1575"/>
      <c r="I489" s="1318">
        <f>'All IOU FRZ NTG'!U21</f>
        <v>5.192937672994366E-2</v>
      </c>
      <c r="J489" s="1146">
        <f>'All IOU FRZ NTG'!Z21</f>
        <v>1032.394209933032</v>
      </c>
      <c r="K489" s="1118">
        <f>'All IOU FRZ NTG'!AB21</f>
        <v>0.94486729999999997</v>
      </c>
      <c r="L489" s="1146">
        <f>'All IOU FRZ NTG'!AD21</f>
        <v>975.47552967505715</v>
      </c>
      <c r="M489" s="1146">
        <f>'All IOU FRZ NTG'!AF21</f>
        <v>744</v>
      </c>
      <c r="N489" s="1118">
        <f>'All IOU FRZ NTG'!AH21</f>
        <v>0.94486729999999997</v>
      </c>
      <c r="O489" s="1146">
        <f>'All IOU FRZ NTG'!AJ21</f>
        <v>702.98127119999992</v>
      </c>
      <c r="P489" s="1146">
        <f>'All IOU FRZ NTG'!AL21</f>
        <v>272.49425847505722</v>
      </c>
      <c r="Y489" s="1047"/>
    </row>
    <row r="490" spans="1:26" ht="15" customHeight="1">
      <c r="A490" s="786"/>
      <c r="D490" s="1616"/>
      <c r="E490" s="1612"/>
      <c r="F490" s="1612"/>
      <c r="G490" s="1575" t="s">
        <v>346</v>
      </c>
      <c r="H490" s="1575"/>
      <c r="I490" s="1318">
        <f>'All IOU FRZ NTG'!U22</f>
        <v>3.6121372527441929E-2</v>
      </c>
      <c r="J490" s="1146">
        <f>'All IOU FRZ NTG'!Z22</f>
        <v>1032.394209933032</v>
      </c>
      <c r="K490" s="1118">
        <f>'All IOU FRZ NTG'!AB22</f>
        <v>0.94486729999999997</v>
      </c>
      <c r="L490" s="1146">
        <f>'All IOU FRZ NTG'!AD22</f>
        <v>975.47552967505715</v>
      </c>
      <c r="M490" s="1146">
        <f>'All IOU FRZ NTG'!AF22</f>
        <v>443</v>
      </c>
      <c r="N490" s="1118">
        <f>'All IOU FRZ NTG'!AH22</f>
        <v>0.94486729999999997</v>
      </c>
      <c r="O490" s="1146">
        <f>'All IOU FRZ NTG'!AJ22</f>
        <v>418.57621389999997</v>
      </c>
      <c r="P490" s="1146">
        <f>'All IOU FRZ NTG'!AL22</f>
        <v>556.89931577505718</v>
      </c>
      <c r="Y490" s="1047"/>
    </row>
    <row r="491" spans="1:26">
      <c r="A491" s="786"/>
      <c r="D491" s="1616"/>
      <c r="E491" s="1612"/>
      <c r="F491" s="1612"/>
      <c r="G491" s="1575" t="s">
        <v>347</v>
      </c>
      <c r="H491" s="1575"/>
      <c r="I491" s="1318">
        <f>'All IOU FRZ NTG'!U23</f>
        <v>0.12457675191956724</v>
      </c>
      <c r="J491" s="1146">
        <f>'All IOU FRZ NTG'!Z23</f>
        <v>1032.394209933032</v>
      </c>
      <c r="K491" s="1118">
        <f>'All IOU FRZ NTG'!AB23</f>
        <v>0.94486729999999997</v>
      </c>
      <c r="L491" s="1146">
        <f>'All IOU FRZ NTG'!AD23</f>
        <v>975.47552967505715</v>
      </c>
      <c r="M491" s="1146">
        <f>'All IOU FRZ NTG'!AF23</f>
        <v>0</v>
      </c>
      <c r="N491" s="1118">
        <f>'All IOU FRZ NTG'!AH23</f>
        <v>0.94486729999999997</v>
      </c>
      <c r="O491" s="1146">
        <f>'All IOU FRZ NTG'!AJ23</f>
        <v>0</v>
      </c>
      <c r="P491" s="1146">
        <f>'All IOU FRZ NTG'!AL23</f>
        <v>975.47552967505715</v>
      </c>
      <c r="Y491" s="1047"/>
    </row>
    <row r="492" spans="1:26">
      <c r="A492" s="786"/>
      <c r="D492" s="1616"/>
      <c r="E492" s="1612"/>
      <c r="F492" s="1583" t="s">
        <v>342</v>
      </c>
      <c r="G492" s="1575" t="s">
        <v>349</v>
      </c>
      <c r="H492" s="1575"/>
      <c r="I492" s="1318">
        <f>'All IOU FRZ NTG'!U24</f>
        <v>1.2847151084999699E-2</v>
      </c>
      <c r="J492" s="1146">
        <f>'All IOU FRZ NTG'!Z24</f>
        <v>1032.394209933032</v>
      </c>
      <c r="K492" s="1118">
        <f>'All IOU FRZ NTG'!AB24</f>
        <v>0.94486729999999997</v>
      </c>
      <c r="L492" s="1146">
        <f>'All IOU FRZ NTG'!AD24</f>
        <v>975.47552967505715</v>
      </c>
      <c r="M492" s="1146">
        <f>'All IOU FRZ NTG'!AF24</f>
        <v>744</v>
      </c>
      <c r="N492" s="1118">
        <f>'All IOU FRZ NTG'!AH24</f>
        <v>0.94486729999999997</v>
      </c>
      <c r="O492" s="1146">
        <f>'All IOU FRZ NTG'!AJ24</f>
        <v>702.98127119999992</v>
      </c>
      <c r="P492" s="1146">
        <f>'All IOU FRZ NTG'!AL24</f>
        <v>272.49425847505722</v>
      </c>
      <c r="Y492" s="1047"/>
    </row>
    <row r="493" spans="1:26">
      <c r="A493" s="786"/>
      <c r="D493" s="1616"/>
      <c r="E493" s="1612"/>
      <c r="F493" s="1583"/>
      <c r="G493" s="1575" t="s">
        <v>350</v>
      </c>
      <c r="H493" s="1575"/>
      <c r="I493" s="1318">
        <f>'All IOU FRZ NTG'!U25</f>
        <v>6.5493167783614199E-3</v>
      </c>
      <c r="J493" s="1146">
        <f>'All IOU FRZ NTG'!Z25</f>
        <v>1032.394209933032</v>
      </c>
      <c r="K493" s="1118">
        <f>'All IOU FRZ NTG'!AB25</f>
        <v>0.94486729999999997</v>
      </c>
      <c r="L493" s="1146">
        <f>'All IOU FRZ NTG'!AD25</f>
        <v>975.47552967505715</v>
      </c>
      <c r="M493" s="1146">
        <f>'All IOU FRZ NTG'!AF25</f>
        <v>744</v>
      </c>
      <c r="N493" s="1118">
        <f>'All IOU FRZ NTG'!AH25</f>
        <v>0.94486729999999997</v>
      </c>
      <c r="O493" s="1146">
        <f>'All IOU FRZ NTG'!AJ25</f>
        <v>702.98127119999992</v>
      </c>
      <c r="P493" s="1146">
        <f>'All IOU FRZ NTG'!AL25</f>
        <v>272.49425847505722</v>
      </c>
      <c r="Y493" s="1047"/>
    </row>
    <row r="494" spans="1:26" ht="15" customHeight="1">
      <c r="A494" s="786"/>
      <c r="D494" s="1616"/>
      <c r="E494" s="1612"/>
      <c r="F494" s="1583"/>
      <c r="G494" s="1575" t="s">
        <v>57</v>
      </c>
      <c r="H494" s="1575"/>
      <c r="I494" s="1318">
        <f>'All IOU FRZ NTG'!U26</f>
        <v>7.7528665691782199E-3</v>
      </c>
      <c r="J494" s="1146">
        <f>'All IOU FRZ NTG'!Z26</f>
        <v>1032.394209933032</v>
      </c>
      <c r="K494" s="1118">
        <f>'All IOU FRZ NTG'!AB26</f>
        <v>0.94486729999999997</v>
      </c>
      <c r="L494" s="1146">
        <f>'All IOU FRZ NTG'!AD26</f>
        <v>975.47552967505715</v>
      </c>
      <c r="M494" s="1146">
        <f>'All IOU FRZ NTG'!AF26</f>
        <v>744</v>
      </c>
      <c r="N494" s="1118">
        <f>'All IOU FRZ NTG'!AH26</f>
        <v>0.94486729999999997</v>
      </c>
      <c r="O494" s="1146">
        <f>'All IOU FRZ NTG'!AJ26</f>
        <v>702.98127119999992</v>
      </c>
      <c r="P494" s="1146">
        <f>'All IOU FRZ NTG'!AL26</f>
        <v>272.49425847505722</v>
      </c>
      <c r="Y494" s="1047"/>
    </row>
    <row r="495" spans="1:26">
      <c r="A495" s="786"/>
      <c r="D495" s="1616"/>
      <c r="E495" s="1612"/>
      <c r="F495" s="1602" t="s">
        <v>266</v>
      </c>
      <c r="G495" s="1603"/>
      <c r="H495" s="1604"/>
      <c r="I495" s="1318">
        <f>'All IOU FRZ NTG'!U27</f>
        <v>0.13168952067649267</v>
      </c>
      <c r="J495" s="1146">
        <f>'All IOU FRZ NTG'!Z27</f>
        <v>1032.394209933032</v>
      </c>
      <c r="K495" s="1118">
        <f>'All IOU FRZ NTG'!AB27</f>
        <v>0.94486729999999985</v>
      </c>
      <c r="L495" s="1146">
        <f>'All IOU FRZ NTG'!AD27</f>
        <v>975.47552967505703</v>
      </c>
      <c r="M495" s="1146">
        <f>'All IOU FRZ NTG'!AF27</f>
        <v>235.26613102352528</v>
      </c>
      <c r="N495" s="1118">
        <f>'All IOU FRZ NTG'!AH27</f>
        <v>0.94486729999999985</v>
      </c>
      <c r="O495" s="1146">
        <f>'All IOU FRZ NTG'!AJ27</f>
        <v>222.29527400164454</v>
      </c>
      <c r="P495" s="1146">
        <f>'All IOU FRZ NTG'!AL27</f>
        <v>753.18025567341249</v>
      </c>
      <c r="Y495" s="1047"/>
    </row>
    <row r="496" spans="1:26" ht="15" customHeight="1">
      <c r="A496" s="786"/>
      <c r="D496" s="1609" t="s">
        <v>5</v>
      </c>
      <c r="E496" s="1609"/>
      <c r="F496" s="1609"/>
      <c r="G496" s="1609"/>
      <c r="H496" s="1609"/>
      <c r="I496" s="1319">
        <f>'All IOU FRZ NTG'!U28</f>
        <v>1.0000003714659849</v>
      </c>
      <c r="J496" s="1235">
        <f>'All IOU FRZ NTG'!Z28</f>
        <v>1032.394209933032</v>
      </c>
      <c r="K496" s="1236">
        <f>'All IOU FRZ NTG'!AB28</f>
        <v>0.92757806863081693</v>
      </c>
      <c r="L496" s="1235">
        <f>'All IOU FRZ NTG'!AD28</f>
        <v>957.62622731532008</v>
      </c>
      <c r="M496" s="1235">
        <f>'All IOU FRZ NTG'!AF28</f>
        <v>362.85440393907749</v>
      </c>
      <c r="N496" s="1236">
        <f>'All IOU FRZ NTG'!AH28</f>
        <v>0.79363189614080798</v>
      </c>
      <c r="O496" s="1235">
        <f>'All IOU FRZ NTG'!AJ28</f>
        <v>186.71470566191221</v>
      </c>
      <c r="P496" s="1235">
        <f>'All IOU FRZ NTG'!AL28</f>
        <v>770.91152165340793</v>
      </c>
      <c r="Z496" s="1047"/>
    </row>
    <row r="497" spans="1:26">
      <c r="A497" s="786"/>
      <c r="Z497" s="1047"/>
    </row>
    <row r="498" spans="1:26" ht="15" customHeight="1">
      <c r="A498" s="786"/>
      <c r="Z498" s="1047"/>
    </row>
    <row r="499" spans="1:26">
      <c r="A499" s="786"/>
      <c r="Z499" s="1047"/>
    </row>
    <row r="500" spans="1:26">
      <c r="A500" s="786"/>
      <c r="Z500" s="1047"/>
    </row>
    <row r="501" spans="1:26" ht="15" customHeight="1">
      <c r="A501" s="786"/>
      <c r="Z501" s="1047"/>
    </row>
    <row r="502" spans="1:26">
      <c r="A502" s="786"/>
      <c r="Z502" s="1047"/>
    </row>
    <row r="503" spans="1:26" ht="15" thickBot="1">
      <c r="A503" s="786"/>
      <c r="C503" s="822" t="s">
        <v>546</v>
      </c>
      <c r="Z503" s="1047"/>
    </row>
    <row r="504" spans="1:26" ht="25.8" thickBot="1">
      <c r="A504" s="786"/>
      <c r="C504" s="817" t="s">
        <v>0</v>
      </c>
      <c r="D504" s="1045" t="s">
        <v>243</v>
      </c>
      <c r="E504" s="1045" t="s">
        <v>838</v>
      </c>
      <c r="Z504" s="1047"/>
    </row>
    <row r="505" spans="1:26" ht="15" thickBot="1">
      <c r="A505" s="786"/>
      <c r="C505" s="1034" t="s">
        <v>256</v>
      </c>
      <c r="D505" s="820">
        <f>E16</f>
        <v>510.09581670678864</v>
      </c>
      <c r="E505" s="1242">
        <f>F16</f>
        <v>0.26109325241397136</v>
      </c>
      <c r="Z505" s="1047"/>
    </row>
    <row r="506" spans="1:26" ht="15" thickBot="1">
      <c r="A506" s="786"/>
      <c r="C506" s="1034" t="s">
        <v>18</v>
      </c>
      <c r="D506" s="820">
        <f t="shared" ref="D506:E506" si="5">E17</f>
        <v>518.661962675778</v>
      </c>
      <c r="E506" s="1242">
        <f t="shared" si="5"/>
        <v>0.24822026481977566</v>
      </c>
      <c r="Z506" s="1047"/>
    </row>
    <row r="507" spans="1:26" ht="15" thickBot="1">
      <c r="A507" s="786"/>
      <c r="C507" s="1034" t="s">
        <v>257</v>
      </c>
      <c r="D507" s="820">
        <f t="shared" ref="D507:E507" si="6">E18</f>
        <v>384.8198519912296</v>
      </c>
      <c r="E507" s="1242">
        <f t="shared" si="6"/>
        <v>0.25977100592214508</v>
      </c>
      <c r="Z507" s="1047"/>
    </row>
    <row r="508" spans="1:26" ht="15" thickBot="1">
      <c r="A508" s="786"/>
      <c r="C508" s="1034" t="s">
        <v>289</v>
      </c>
      <c r="D508" s="1243">
        <f>E20</f>
        <v>770.91180802081556</v>
      </c>
      <c r="E508" s="1242">
        <f>F20</f>
        <v>0.18016516944246933</v>
      </c>
      <c r="Z508" s="1047"/>
    </row>
    <row r="509" spans="1:26">
      <c r="A509" s="786"/>
      <c r="Z509" s="1047"/>
    </row>
    <row r="510" spans="1:26">
      <c r="A510" s="786"/>
      <c r="Z510" s="1047"/>
    </row>
    <row r="511" spans="1:26">
      <c r="A511" s="786"/>
      <c r="Z511" s="1047"/>
    </row>
    <row r="512" spans="1:26">
      <c r="A512" s="786"/>
      <c r="Z512" s="1047"/>
    </row>
    <row r="513" spans="1:26" ht="15" thickBot="1">
      <c r="A513" s="786"/>
      <c r="C513" s="822" t="s">
        <v>913</v>
      </c>
      <c r="Z513" s="1047"/>
    </row>
    <row r="514" spans="1:26" ht="57.6" thickBot="1">
      <c r="A514" s="786"/>
      <c r="C514" s="1556" t="s">
        <v>519</v>
      </c>
      <c r="D514" s="1557"/>
      <c r="E514" s="1557"/>
      <c r="F514" s="1557"/>
      <c r="G514" s="1557"/>
      <c r="H514" s="1558"/>
      <c r="I514" s="1245" t="s">
        <v>904</v>
      </c>
      <c r="J514" s="844" t="s">
        <v>112</v>
      </c>
      <c r="K514" s="844" t="s">
        <v>124</v>
      </c>
      <c r="L514" s="844" t="s">
        <v>128</v>
      </c>
      <c r="M514" s="844" t="s">
        <v>914</v>
      </c>
      <c r="N514" s="844" t="s">
        <v>915</v>
      </c>
      <c r="Z514" s="1047"/>
    </row>
    <row r="515" spans="1:26">
      <c r="A515" s="786"/>
      <c r="C515" s="1559"/>
      <c r="D515" s="1560"/>
      <c r="E515" s="1560"/>
      <c r="F515" s="1560"/>
      <c r="G515" s="1560"/>
      <c r="H515" s="1561"/>
      <c r="I515" s="1233" t="s">
        <v>520</v>
      </c>
      <c r="J515" s="1244" t="s">
        <v>521</v>
      </c>
      <c r="K515" s="1244" t="s">
        <v>522</v>
      </c>
      <c r="L515" s="1234" t="s">
        <v>540</v>
      </c>
      <c r="M515" s="1244" t="s">
        <v>538</v>
      </c>
      <c r="N515" s="1244" t="s">
        <v>539</v>
      </c>
      <c r="Z515" s="1047"/>
    </row>
    <row r="516" spans="1:26">
      <c r="A516" s="786"/>
      <c r="C516" s="1575" t="s">
        <v>267</v>
      </c>
      <c r="D516" s="1575"/>
      <c r="E516" s="1575"/>
      <c r="F516" s="1575"/>
      <c r="G516" s="1575"/>
      <c r="H516" s="1575"/>
      <c r="I516" s="1238">
        <f>'Statewide Ref Dispostion'!AN$8</f>
        <v>0.136803497976</v>
      </c>
      <c r="J516" s="125">
        <f>'Statewide PGE REF NTG'!U14</f>
        <v>939.4472985248766</v>
      </c>
      <c r="K516" s="125">
        <f>'Statewide PGE REF NTG'!W14</f>
        <v>1</v>
      </c>
      <c r="L516" s="125">
        <f>'Statewide PGE REF NTG'!X14</f>
        <v>939.4472985248766</v>
      </c>
      <c r="M516" s="125">
        <f>'Statewide PGE REF NTG'!Z14</f>
        <v>128.51967660230662</v>
      </c>
      <c r="N516" s="125">
        <f>'Statewide PGE REF NTG'!AB14</f>
        <v>128.51967660230662</v>
      </c>
      <c r="Z516" s="1047"/>
    </row>
    <row r="517" spans="1:26">
      <c r="A517" s="786"/>
      <c r="C517" s="1575" t="s">
        <v>268</v>
      </c>
      <c r="D517" s="1575"/>
      <c r="E517" s="1575"/>
      <c r="F517" s="1575"/>
      <c r="G517" s="1575"/>
      <c r="H517" s="1575"/>
      <c r="I517" s="1238">
        <f>'Statewide Ref Dispostion'!AN$9</f>
        <v>2.3024502023999999E-2</v>
      </c>
      <c r="J517" s="125">
        <f>'Statewide PGE REF NTG'!U15</f>
        <v>0</v>
      </c>
      <c r="K517" s="125">
        <f>'Statewide PGE REF NTG'!W15</f>
        <v>1</v>
      </c>
      <c r="L517" s="125">
        <f>'Statewide PGE REF NTG'!X15</f>
        <v>0</v>
      </c>
      <c r="M517" s="125">
        <f>'Statewide PGE REF NTG'!Z15</f>
        <v>0</v>
      </c>
      <c r="N517" s="125">
        <f>'Statewide PGE REF NTG'!AB15</f>
        <v>0</v>
      </c>
      <c r="Z517" s="1047"/>
    </row>
    <row r="518" spans="1:26">
      <c r="A518" s="786"/>
      <c r="C518" s="1583" t="s">
        <v>340</v>
      </c>
      <c r="D518" s="1602" t="s">
        <v>133</v>
      </c>
      <c r="E518" s="1603"/>
      <c r="F518" s="1603"/>
      <c r="G518" s="1603"/>
      <c r="H518" s="1604"/>
      <c r="I518" s="1238">
        <f>'Statewide Ref Dispostion'!AN$10</f>
        <v>0.18151916060000001</v>
      </c>
      <c r="J518" s="125">
        <f>'Statewide PGE REF NTG'!U16</f>
        <v>563.12417534928773</v>
      </c>
      <c r="K518" s="125">
        <f>'Statewide PGE REF NTG'!W16</f>
        <v>0</v>
      </c>
      <c r="L518" s="125">
        <f>'Statewide PGE REF NTG'!X16</f>
        <v>0</v>
      </c>
      <c r="M518" s="125">
        <f>'Statewide PGE REF NTG'!Z16</f>
        <v>102.21782762296992</v>
      </c>
      <c r="N518" s="125">
        <f>'Statewide PGE REF NTG'!AB16</f>
        <v>0</v>
      </c>
      <c r="Z518" s="1047"/>
    </row>
    <row r="519" spans="1:26">
      <c r="A519" s="786"/>
      <c r="C519" s="1583"/>
      <c r="D519" s="1592" t="s">
        <v>341</v>
      </c>
      <c r="E519" s="1592" t="s">
        <v>342</v>
      </c>
      <c r="F519" s="1575" t="s">
        <v>344</v>
      </c>
      <c r="G519" s="1575"/>
      <c r="H519" s="1575"/>
      <c r="I519" s="1238">
        <f>'Statewide Ref Dispostion'!AN$11</f>
        <v>1.1642391561073492E-2</v>
      </c>
      <c r="J519" s="125">
        <f>'Statewide PGE REF NTG'!U17</f>
        <v>244.99270157598448</v>
      </c>
      <c r="K519" s="125">
        <f>'Statewide PGE REF NTG'!W17</f>
        <v>1</v>
      </c>
      <c r="L519" s="125">
        <f>'Statewide PGE REF NTG'!X17</f>
        <v>244.99270157598448</v>
      </c>
      <c r="M519" s="125">
        <f>'Statewide PGE REF NTG'!Z17</f>
        <v>2.8523009613528383</v>
      </c>
      <c r="N519" s="125">
        <f>'Statewide PGE REF NTG'!AB17</f>
        <v>2.8523009613528383</v>
      </c>
      <c r="Z519" s="1047"/>
    </row>
    <row r="520" spans="1:26">
      <c r="A520" s="786"/>
      <c r="C520" s="1583"/>
      <c r="D520" s="1593"/>
      <c r="E520" s="1593"/>
      <c r="F520" s="1575" t="s">
        <v>345</v>
      </c>
      <c r="G520" s="1575"/>
      <c r="H520" s="1575"/>
      <c r="I520" s="1238">
        <f>'Statewide Ref Dispostion'!AN$12</f>
        <v>9.9035037548185934E-2</v>
      </c>
      <c r="J520" s="125">
        <f>'Statewide PGE REF NTG'!U18</f>
        <v>252.99270157598448</v>
      </c>
      <c r="K520" s="125">
        <f>'Statewide PGE REF NTG'!W18</f>
        <v>1</v>
      </c>
      <c r="L520" s="125">
        <f>'Statewide PGE REF NTG'!X18</f>
        <v>252.99270157598448</v>
      </c>
      <c r="M520" s="125">
        <f>'Statewide PGE REF NTG'!Z18</f>
        <v>25.055141699994621</v>
      </c>
      <c r="N520" s="125">
        <f>'Statewide PGE REF NTG'!AB18</f>
        <v>25.055141699994621</v>
      </c>
      <c r="Z520" s="1047"/>
    </row>
    <row r="521" spans="1:26">
      <c r="A521" s="786"/>
      <c r="C521" s="1583"/>
      <c r="D521" s="1593"/>
      <c r="E521" s="1593"/>
      <c r="F521" s="1575" t="s">
        <v>346</v>
      </c>
      <c r="G521" s="1575"/>
      <c r="H521" s="1575"/>
      <c r="I521" s="1238">
        <f>'Statewide Ref Dispostion'!AN$13</f>
        <v>8.4221478298931493E-2</v>
      </c>
      <c r="J521" s="125">
        <f>'Statewide PGE REF NTG'!U19</f>
        <v>583.99270157598448</v>
      </c>
      <c r="K521" s="125">
        <f>'Statewide PGE REF NTG'!W19</f>
        <v>1</v>
      </c>
      <c r="L521" s="125">
        <f>'Statewide PGE REF NTG'!X19</f>
        <v>583.99270157598448</v>
      </c>
      <c r="M521" s="125">
        <f>'Statewide PGE REF NTG'!Z19</f>
        <v>49.184728642516156</v>
      </c>
      <c r="N521" s="125">
        <f>'Statewide PGE REF NTG'!AB19</f>
        <v>49.184728642516156</v>
      </c>
      <c r="Z521" s="1047"/>
    </row>
    <row r="522" spans="1:26">
      <c r="A522" s="786"/>
      <c r="C522" s="1583"/>
      <c r="D522" s="1593"/>
      <c r="E522" s="1593"/>
      <c r="F522" s="1605" t="s">
        <v>494</v>
      </c>
      <c r="G522" s="1605"/>
      <c r="H522" s="774" t="s">
        <v>509</v>
      </c>
      <c r="I522" s="1238">
        <f>'Statewide Ref Dispostion'!AN$14</f>
        <v>5.1842432725117987E-2</v>
      </c>
      <c r="J522" s="125">
        <f>'Statewide PGE REF NTG'!U20</f>
        <v>146.99270157598448</v>
      </c>
      <c r="K522" s="125">
        <f>'Statewide PGE REF NTG'!W20</f>
        <v>1</v>
      </c>
      <c r="L522" s="125">
        <f>'Statewide PGE REF NTG'!X20</f>
        <v>146.99270157598448</v>
      </c>
      <c r="M522" s="125">
        <f>'Statewide PGE REF NTG'!Z20</f>
        <v>7.6204592425363202</v>
      </c>
      <c r="N522" s="125">
        <f>'Statewide PGE REF NTG'!AB20</f>
        <v>7.6204592425363202</v>
      </c>
      <c r="Z522" s="1047"/>
    </row>
    <row r="523" spans="1:26">
      <c r="A523" s="786"/>
      <c r="C523" s="1583"/>
      <c r="D523" s="1593"/>
      <c r="E523" s="1594"/>
      <c r="F523" s="1605"/>
      <c r="G523" s="1605"/>
      <c r="H523" s="774" t="s">
        <v>511</v>
      </c>
      <c r="I523" s="1238">
        <f>'Statewide Ref Dispostion'!AN$15</f>
        <v>1.4023771042849197E-2</v>
      </c>
      <c r="J523" s="125">
        <f>'Statewide PGE REF NTG'!U21</f>
        <v>939.4472985248766</v>
      </c>
      <c r="K523" s="125">
        <f>'Statewide PGE REF NTG'!W21</f>
        <v>1</v>
      </c>
      <c r="L523" s="125">
        <f>'Statewide PGE REF NTG'!X21</f>
        <v>939.4472985248766</v>
      </c>
      <c r="M523" s="125">
        <f>'Statewide PGE REF NTG'!Z21</f>
        <v>13.174593821336069</v>
      </c>
      <c r="N523" s="125">
        <f>'Statewide PGE REF NTG'!AB21</f>
        <v>13.174593821336069</v>
      </c>
      <c r="Z523" s="1047"/>
    </row>
    <row r="524" spans="1:26">
      <c r="A524" s="786"/>
      <c r="C524" s="1583"/>
      <c r="D524" s="1593"/>
      <c r="E524" s="1592" t="s">
        <v>343</v>
      </c>
      <c r="F524" s="1575" t="s">
        <v>344</v>
      </c>
      <c r="G524" s="1575"/>
      <c r="H524" s="1575"/>
      <c r="I524" s="1238">
        <f>'Statewide Ref Dispostion'!AN$16</f>
        <v>4.3865910057667235E-3</v>
      </c>
      <c r="J524" s="125">
        <f>'Statewide PGE REF NTG'!U22</f>
        <v>222.16153772487667</v>
      </c>
      <c r="K524" s="125">
        <f>'Statewide PGE REF NTG'!W22</f>
        <v>1</v>
      </c>
      <c r="L524" s="125">
        <f>'Statewide PGE REF NTG'!X22</f>
        <v>222.16153772487667</v>
      </c>
      <c r="M524" s="125">
        <f>'Statewide PGE REF NTG'!Z22</f>
        <v>0.97453180321124866</v>
      </c>
      <c r="N524" s="125">
        <f>'Statewide PGE REF NTG'!AB22</f>
        <v>0.97453180321124866</v>
      </c>
      <c r="Z524" s="1047"/>
    </row>
    <row r="525" spans="1:26">
      <c r="A525" s="786"/>
      <c r="C525" s="1583"/>
      <c r="D525" s="1593"/>
      <c r="E525" s="1593"/>
      <c r="F525" s="1575" t="s">
        <v>345</v>
      </c>
      <c r="G525" s="1575"/>
      <c r="H525" s="1575"/>
      <c r="I525" s="1238">
        <f>'Statewide Ref Dispostion'!AN$17</f>
        <v>2.0012557038668416E-2</v>
      </c>
      <c r="J525" s="125">
        <f>'Statewide PGE REF NTG'!U23</f>
        <v>229.41600812487661</v>
      </c>
      <c r="K525" s="125">
        <f>'Statewide PGE REF NTG'!W23</f>
        <v>1</v>
      </c>
      <c r="L525" s="125">
        <f>'Statewide PGE REF NTG'!X23</f>
        <v>229.41600812487661</v>
      </c>
      <c r="M525" s="125">
        <f>'Statewide PGE REF NTG'!Z23</f>
        <v>4.5912009481827099</v>
      </c>
      <c r="N525" s="125">
        <f>'Statewide PGE REF NTG'!AB23</f>
        <v>4.5912009481827099</v>
      </c>
      <c r="Z525" s="1047"/>
    </row>
    <row r="526" spans="1:26">
      <c r="A526" s="786"/>
      <c r="C526" s="1583"/>
      <c r="D526" s="1593"/>
      <c r="E526" s="1593"/>
      <c r="F526" s="1575" t="s">
        <v>346</v>
      </c>
      <c r="G526" s="1575"/>
      <c r="H526" s="1575"/>
      <c r="I526" s="1238">
        <f>'Statewide Ref Dispostion'!AN$18</f>
        <v>1.2032597130769086E-2</v>
      </c>
      <c r="J526" s="125">
        <f>'Statewide PGE REF NTG'!U24</f>
        <v>529.56972092487661</v>
      </c>
      <c r="K526" s="125">
        <f>'Statewide PGE REF NTG'!W24</f>
        <v>1</v>
      </c>
      <c r="L526" s="125">
        <f>'Statewide PGE REF NTG'!X24</f>
        <v>529.56972092487661</v>
      </c>
      <c r="M526" s="125">
        <f>'Statewide PGE REF NTG'!Z24</f>
        <v>6.3720991045428557</v>
      </c>
      <c r="N526" s="125">
        <f>'Statewide PGE REF NTG'!AB24</f>
        <v>6.3720991045428557</v>
      </c>
      <c r="Z526" s="1047"/>
    </row>
    <row r="527" spans="1:26">
      <c r="A527" s="786"/>
      <c r="C527" s="1583"/>
      <c r="D527" s="1594"/>
      <c r="E527" s="1594"/>
      <c r="F527" s="1575" t="s">
        <v>347</v>
      </c>
      <c r="G527" s="1575"/>
      <c r="H527" s="1575"/>
      <c r="I527" s="1238">
        <f>'Statewide Ref Dispostion'!AN$19</f>
        <v>3.6340924882971623E-2</v>
      </c>
      <c r="J527" s="125">
        <f>'Statewide PGE REF NTG'!U25</f>
        <v>939.4472985248766</v>
      </c>
      <c r="K527" s="125">
        <f>'Statewide PGE REF NTG'!W25</f>
        <v>1</v>
      </c>
      <c r="L527" s="125">
        <f>'Statewide PGE REF NTG'!X25</f>
        <v>939.4472985248766</v>
      </c>
      <c r="M527" s="125">
        <f>'Statewide PGE REF NTG'!Z25</f>
        <v>34.140383707203156</v>
      </c>
      <c r="N527" s="125">
        <f>'Statewide PGE REF NTG'!AB25</f>
        <v>34.140383707203156</v>
      </c>
      <c r="Z527" s="1047"/>
    </row>
    <row r="528" spans="1:26">
      <c r="A528" s="786"/>
      <c r="C528" s="1583"/>
      <c r="D528" s="1592" t="s">
        <v>88</v>
      </c>
      <c r="E528" s="1583" t="s">
        <v>348</v>
      </c>
      <c r="F528" s="1592" t="s">
        <v>342</v>
      </c>
      <c r="G528" s="1584" t="s">
        <v>345</v>
      </c>
      <c r="H528" s="1586"/>
      <c r="I528" s="1238">
        <f>'Statewide Ref Dispostion'!AN$20</f>
        <v>7.4297916790629318E-2</v>
      </c>
      <c r="J528" s="125">
        <f>'Statewide PGE REF NTG'!U26</f>
        <v>252.99270157598448</v>
      </c>
      <c r="K528" s="125">
        <f>'Statewide PGE REF NTG'!W26</f>
        <v>1</v>
      </c>
      <c r="L528" s="125">
        <f>'Statewide PGE REF NTG'!X26</f>
        <v>252.99270157598448</v>
      </c>
      <c r="M528" s="125">
        <f>'Statewide PGE REF NTG'!Z26</f>
        <v>18.79683069032901</v>
      </c>
      <c r="N528" s="125">
        <f>'Statewide PGE REF NTG'!AB26</f>
        <v>18.79683069032901</v>
      </c>
      <c r="Z528" s="1047"/>
    </row>
    <row r="529" spans="1:26">
      <c r="A529" s="786"/>
      <c r="C529" s="1583"/>
      <c r="D529" s="1593"/>
      <c r="E529" s="1583"/>
      <c r="F529" s="1593"/>
      <c r="G529" s="1587" t="s">
        <v>346</v>
      </c>
      <c r="H529" s="1587"/>
      <c r="I529" s="1238">
        <f>'Statewide Ref Dispostion'!AN$21</f>
        <v>5.6951714683935721E-2</v>
      </c>
      <c r="J529" s="125">
        <f>'Statewide PGE REF NTG'!U27</f>
        <v>583.99270157598448</v>
      </c>
      <c r="K529" s="125">
        <f>'Statewide PGE REF NTG'!W27</f>
        <v>1</v>
      </c>
      <c r="L529" s="125">
        <f>'Statewide PGE REF NTG'!X27</f>
        <v>583.99270157598448</v>
      </c>
      <c r="M529" s="125">
        <f>'Statewide PGE REF NTG'!Z27</f>
        <v>33.259385717656286</v>
      </c>
      <c r="N529" s="125">
        <f>'Statewide PGE REF NTG'!AB27</f>
        <v>33.259385717656286</v>
      </c>
      <c r="Z529" s="1047"/>
    </row>
    <row r="530" spans="1:26">
      <c r="A530" s="786"/>
      <c r="C530" s="1583"/>
      <c r="D530" s="1593"/>
      <c r="E530" s="1583"/>
      <c r="F530" s="1593"/>
      <c r="G530" s="1595" t="s">
        <v>495</v>
      </c>
      <c r="H530" s="774" t="s">
        <v>509</v>
      </c>
      <c r="I530" s="1238">
        <f>'Statewide Ref Dispostion'!AN$22</f>
        <v>3.297520714939247E-2</v>
      </c>
      <c r="J530" s="125">
        <f>'Statewide PGE REF NTG'!U28</f>
        <v>146.99270157598448</v>
      </c>
      <c r="K530" s="125">
        <f>'Statewide PGE REF NTG'!W28</f>
        <v>1</v>
      </c>
      <c r="L530" s="125">
        <f>'Statewide PGE REF NTG'!X28</f>
        <v>146.99270157598448</v>
      </c>
      <c r="M530" s="125">
        <f>'Statewide PGE REF NTG'!Z28</f>
        <v>4.8471147839169175</v>
      </c>
      <c r="N530" s="125">
        <f>'Statewide PGE REF NTG'!AB28</f>
        <v>4.8471147839169175</v>
      </c>
      <c r="Z530" s="1047"/>
    </row>
    <row r="531" spans="1:26">
      <c r="A531" s="786"/>
      <c r="C531" s="1583"/>
      <c r="D531" s="1593"/>
      <c r="E531" s="1583"/>
      <c r="F531" s="1594"/>
      <c r="G531" s="1596"/>
      <c r="H531" s="774" t="s">
        <v>511</v>
      </c>
      <c r="I531" s="1238">
        <f>'Statewide Ref Dispostion'!AN$23</f>
        <v>2.8933750518450236E-3</v>
      </c>
      <c r="J531" s="125">
        <f>'Statewide PGE REF NTG'!U29</f>
        <v>939.4472985248766</v>
      </c>
      <c r="K531" s="125">
        <f>'Statewide PGE REF NTG'!W29</f>
        <v>1</v>
      </c>
      <c r="L531" s="125">
        <f>'Statewide PGE REF NTG'!X29</f>
        <v>939.4472985248766</v>
      </c>
      <c r="M531" s="125">
        <f>'Statewide PGE REF NTG'!Z29</f>
        <v>2.7181733760750824</v>
      </c>
      <c r="N531" s="125">
        <f>'Statewide PGE REF NTG'!AB29</f>
        <v>2.7181733760750824</v>
      </c>
      <c r="Z531" s="1047"/>
    </row>
    <row r="532" spans="1:26">
      <c r="A532" s="786"/>
      <c r="C532" s="1583"/>
      <c r="D532" s="1593"/>
      <c r="E532" s="1583"/>
      <c r="F532" s="1597" t="s">
        <v>343</v>
      </c>
      <c r="G532" s="1600" t="s">
        <v>345</v>
      </c>
      <c r="H532" s="1601"/>
      <c r="I532" s="1238">
        <f>'Statewide Ref Dispostion'!AN$24</f>
        <v>9.318003797670742E-3</v>
      </c>
      <c r="J532" s="125">
        <f>'Statewide PGE REF NTG'!U30</f>
        <v>229.41600812487661</v>
      </c>
      <c r="K532" s="125">
        <f>'Statewide PGE REF NTG'!W30</f>
        <v>1</v>
      </c>
      <c r="L532" s="125">
        <f>'Statewide PGE REF NTG'!X30</f>
        <v>229.41600812487661</v>
      </c>
      <c r="M532" s="125">
        <f>'Statewide PGE REF NTG'!Z30</f>
        <v>2.137699234954062</v>
      </c>
      <c r="N532" s="125">
        <f>'Statewide PGE REF NTG'!AB30</f>
        <v>2.137699234954062</v>
      </c>
      <c r="Z532" s="1047"/>
    </row>
    <row r="533" spans="1:26">
      <c r="A533" s="786"/>
      <c r="C533" s="1583"/>
      <c r="D533" s="1593"/>
      <c r="E533" s="1583"/>
      <c r="F533" s="1598"/>
      <c r="G533" s="1587" t="s">
        <v>346</v>
      </c>
      <c r="H533" s="1587"/>
      <c r="I533" s="1238">
        <f>'Statewide Ref Dispostion'!AN$25</f>
        <v>5.3098210650899032E-3</v>
      </c>
      <c r="J533" s="125">
        <f>'Statewide PGE REF NTG'!U31</f>
        <v>529.56972092487661</v>
      </c>
      <c r="K533" s="125">
        <f>'Statewide PGE REF NTG'!W31</f>
        <v>1</v>
      </c>
      <c r="L533" s="125">
        <f>'Statewide PGE REF NTG'!X31</f>
        <v>529.56972092487661</v>
      </c>
      <c r="M533" s="125">
        <f>'Statewide PGE REF NTG'!Z31</f>
        <v>2.811920459600691</v>
      </c>
      <c r="N533" s="125">
        <f>'Statewide PGE REF NTG'!AB31</f>
        <v>2.811920459600691</v>
      </c>
      <c r="Z533" s="1047"/>
    </row>
    <row r="534" spans="1:26">
      <c r="A534" s="786"/>
      <c r="C534" s="1583"/>
      <c r="D534" s="1593"/>
      <c r="E534" s="1583"/>
      <c r="F534" s="1599"/>
      <c r="G534" s="1587" t="s">
        <v>347</v>
      </c>
      <c r="H534" s="1587"/>
      <c r="I534" s="1238">
        <f>'Statewide Ref Dispostion'!AN$26</f>
        <v>1.1841082338023101E-3</v>
      </c>
      <c r="J534" s="125">
        <f>'Statewide PGE REF NTG'!U32</f>
        <v>939.4472985248766</v>
      </c>
      <c r="K534" s="125">
        <f>'Statewide PGE REF NTG'!W32</f>
        <v>1</v>
      </c>
      <c r="L534" s="125">
        <f>'Statewide PGE REF NTG'!X32</f>
        <v>939.4472985248766</v>
      </c>
      <c r="M534" s="125">
        <f>'Statewide PGE REF NTG'!Z32</f>
        <v>1.1124072814066432</v>
      </c>
      <c r="N534" s="125">
        <f>'Statewide PGE REF NTG'!AB32</f>
        <v>1.1124072814066432</v>
      </c>
      <c r="Z534" s="1047"/>
    </row>
    <row r="535" spans="1:26">
      <c r="A535" s="786"/>
      <c r="C535" s="1583"/>
      <c r="D535" s="1593"/>
      <c r="E535" s="1583" t="s">
        <v>342</v>
      </c>
      <c r="F535" s="1584" t="s">
        <v>349</v>
      </c>
      <c r="G535" s="1585"/>
      <c r="H535" s="1586"/>
      <c r="I535" s="1238">
        <f>'Statewide Ref Dispostion'!AN$27</f>
        <v>1.105280935239851E-2</v>
      </c>
      <c r="J535" s="125">
        <f>'Statewide PGE REF NTG'!U33</f>
        <v>252.99270157598448</v>
      </c>
      <c r="K535" s="125">
        <f>'Statewide PGE REF NTG'!W33</f>
        <v>1</v>
      </c>
      <c r="L535" s="125">
        <f>'Statewide PGE REF NTG'!X33</f>
        <v>252.99270157598448</v>
      </c>
      <c r="M535" s="125">
        <f>'Statewide PGE REF NTG'!Z33</f>
        <v>2.7962800980676064</v>
      </c>
      <c r="N535" s="125">
        <f>'Statewide PGE REF NTG'!AB33</f>
        <v>2.7962800980676064</v>
      </c>
      <c r="Z535" s="1047"/>
    </row>
    <row r="536" spans="1:26">
      <c r="A536" s="786"/>
      <c r="C536" s="1583"/>
      <c r="D536" s="1593"/>
      <c r="E536" s="1583"/>
      <c r="F536" s="1575" t="s">
        <v>350</v>
      </c>
      <c r="G536" s="1575"/>
      <c r="H536" s="1575"/>
      <c r="I536" s="1238">
        <f>'Statewide Ref Dispostion'!AN$28</f>
        <v>5.6345838280219213E-3</v>
      </c>
      <c r="J536" s="125">
        <f>'Statewide PGE REF NTG'!U34</f>
        <v>252.99270157598448</v>
      </c>
      <c r="K536" s="125">
        <f>'Statewide PGE REF NTG'!W34</f>
        <v>1</v>
      </c>
      <c r="L536" s="125">
        <f>'Statewide PGE REF NTG'!X34</f>
        <v>252.99270157598448</v>
      </c>
      <c r="M536" s="125">
        <f>'Statewide PGE REF NTG'!Z34</f>
        <v>1.4255085849076181</v>
      </c>
      <c r="N536" s="125">
        <f>'Statewide PGE REF NTG'!AB34</f>
        <v>1.4255085849076181</v>
      </c>
      <c r="Z536" s="1047"/>
    </row>
    <row r="537" spans="1:26">
      <c r="A537" s="786"/>
      <c r="C537" s="1583"/>
      <c r="D537" s="1593"/>
      <c r="E537" s="1583"/>
      <c r="F537" s="1575" t="s">
        <v>57</v>
      </c>
      <c r="G537" s="1575"/>
      <c r="H537" s="1575"/>
      <c r="I537" s="1238">
        <f>'Statewide Ref Dispostion'!AN$29</f>
        <v>6.6700356800320753E-3</v>
      </c>
      <c r="J537" s="125">
        <f>'Statewide PGE REF NTG'!U35</f>
        <v>252.99270157598448</v>
      </c>
      <c r="K537" s="125">
        <f>'Statewide PGE REF NTG'!W35</f>
        <v>1</v>
      </c>
      <c r="L537" s="125">
        <f>'Statewide PGE REF NTG'!X35</f>
        <v>252.99270157598448</v>
      </c>
      <c r="M537" s="125">
        <f>'Statewide PGE REF NTG'!Z35</f>
        <v>1.6874703462995235</v>
      </c>
      <c r="N537" s="125">
        <f>'Statewide PGE REF NTG'!AB35</f>
        <v>1.6874703462995235</v>
      </c>
      <c r="Z537" s="1047"/>
    </row>
    <row r="538" spans="1:26">
      <c r="A538" s="786"/>
      <c r="C538" s="1583"/>
      <c r="D538" s="1593"/>
      <c r="E538" s="1588" t="s">
        <v>266</v>
      </c>
      <c r="F538" s="1588"/>
      <c r="G538" s="1588"/>
      <c r="H538" s="1588"/>
      <c r="I538" s="1238">
        <f>'Statewide Ref Dispostion'!AN$30</f>
        <v>0.11329664889249251</v>
      </c>
      <c r="J538" s="125">
        <f>'Statewide PGE REF NTG'!U36</f>
        <v>563.12417534928818</v>
      </c>
      <c r="K538" s="125">
        <f>'Statewide PGE REF NTG'!W36</f>
        <v>0</v>
      </c>
      <c r="L538" s="125">
        <f>'Statewide PGE REF NTG'!X36</f>
        <v>0</v>
      </c>
      <c r="M538" s="125">
        <f>'Statewide PGE REF NTG'!Z36</f>
        <v>63.800081977422685</v>
      </c>
      <c r="N538" s="125">
        <f>'Statewide PGE REF NTG'!AB36</f>
        <v>0</v>
      </c>
      <c r="Z538" s="1047"/>
    </row>
    <row r="539" spans="1:26" ht="18">
      <c r="A539" s="786"/>
      <c r="C539" s="1589" t="s">
        <v>541</v>
      </c>
      <c r="D539" s="1590"/>
      <c r="E539" s="1590"/>
      <c r="F539" s="1590"/>
      <c r="G539" s="1590"/>
      <c r="H539" s="1590"/>
      <c r="I539" s="1590"/>
      <c r="J539" s="1590"/>
      <c r="K539" s="1590"/>
      <c r="L539" s="1591"/>
      <c r="M539" s="1246">
        <f>'Statewide PGE REF NTG'!Z37</f>
        <v>510.09581670678864</v>
      </c>
      <c r="N539" s="1246">
        <f>'Statewide PGE REF NTG'!AB37</f>
        <v>344.07790710639603</v>
      </c>
      <c r="Z539" s="1047"/>
    </row>
    <row r="540" spans="1:26" ht="18">
      <c r="A540" s="786"/>
      <c r="C540" s="1580" t="s">
        <v>360</v>
      </c>
      <c r="D540" s="1580"/>
      <c r="E540" s="1580"/>
      <c r="F540" s="1580"/>
      <c r="G540" s="1580"/>
      <c r="H540" s="1580"/>
      <c r="I540" s="1580"/>
      <c r="J540" s="1580"/>
      <c r="K540" s="1580"/>
      <c r="L540" s="1580"/>
      <c r="M540" s="1581">
        <f>N539/M539</f>
        <v>0.67453583392976069</v>
      </c>
      <c r="N540" s="1581"/>
      <c r="Z540" s="1047"/>
    </row>
    <row r="541" spans="1:26" ht="15" thickBot="1">
      <c r="A541" s="786"/>
      <c r="C541" s="822" t="s">
        <v>916</v>
      </c>
      <c r="Z541" s="1047"/>
    </row>
    <row r="542" spans="1:26" ht="57.6" thickBot="1">
      <c r="A542" s="786"/>
      <c r="C542" s="1556" t="s">
        <v>519</v>
      </c>
      <c r="D542" s="1557"/>
      <c r="E542" s="1557"/>
      <c r="F542" s="1557"/>
      <c r="G542" s="1557"/>
      <c r="H542" s="1558"/>
      <c r="I542" s="1245" t="s">
        <v>904</v>
      </c>
      <c r="J542" s="844" t="s">
        <v>112</v>
      </c>
      <c r="K542" s="844" t="s">
        <v>124</v>
      </c>
      <c r="L542" s="844" t="s">
        <v>128</v>
      </c>
      <c r="M542" s="844" t="s">
        <v>914</v>
      </c>
      <c r="N542" s="844" t="s">
        <v>915</v>
      </c>
      <c r="Z542" s="1047"/>
    </row>
    <row r="543" spans="1:26">
      <c r="A543" s="786"/>
      <c r="C543" s="1559"/>
      <c r="D543" s="1560"/>
      <c r="E543" s="1560"/>
      <c r="F543" s="1560"/>
      <c r="G543" s="1560"/>
      <c r="H543" s="1561"/>
      <c r="I543" s="1233" t="s">
        <v>520</v>
      </c>
      <c r="J543" s="1244" t="s">
        <v>521</v>
      </c>
      <c r="K543" s="1244" t="s">
        <v>522</v>
      </c>
      <c r="L543" s="1234" t="s">
        <v>540</v>
      </c>
      <c r="M543" s="1244" t="s">
        <v>538</v>
      </c>
      <c r="N543" s="1244" t="s">
        <v>539</v>
      </c>
      <c r="Z543" s="1047"/>
    </row>
    <row r="544" spans="1:26">
      <c r="A544" s="786"/>
      <c r="C544" s="1575" t="s">
        <v>267</v>
      </c>
      <c r="D544" s="1575"/>
      <c r="E544" s="1575"/>
      <c r="F544" s="1575"/>
      <c r="G544" s="1575"/>
      <c r="H544" s="1575"/>
      <c r="I544" s="1238">
        <f>'Statewide Ref Dispostion'!AN$8</f>
        <v>0.136803497976</v>
      </c>
      <c r="J544" s="125">
        <f>'Statewide SCE REF NTG'!U14</f>
        <v>927.42084818578326</v>
      </c>
      <c r="K544" s="125">
        <f>'Statewide SCE REF NTG'!W14</f>
        <v>1</v>
      </c>
      <c r="L544" s="125">
        <f>'Statewide SCE REF NTG'!X14</f>
        <v>927.42084818578326</v>
      </c>
      <c r="M544" s="125">
        <f>'Statewide SCE REF NTG'!Z14</f>
        <v>126.874416127684</v>
      </c>
      <c r="N544" s="125">
        <f>'Statewide SCE REF NTG'!AB14</f>
        <v>126.874416127684</v>
      </c>
      <c r="Z544" s="1047"/>
    </row>
    <row r="545" spans="1:26">
      <c r="A545" s="786"/>
      <c r="C545" s="1575" t="s">
        <v>268</v>
      </c>
      <c r="D545" s="1575"/>
      <c r="E545" s="1575"/>
      <c r="F545" s="1575"/>
      <c r="G545" s="1575"/>
      <c r="H545" s="1575"/>
      <c r="I545" s="1238">
        <f>'Statewide Ref Dispostion'!AN$9</f>
        <v>2.3024502023999999E-2</v>
      </c>
      <c r="J545" s="125">
        <f>'Statewide SCE REF NTG'!U15</f>
        <v>0</v>
      </c>
      <c r="K545" s="125">
        <f>'Statewide SCE REF NTG'!W15</f>
        <v>1</v>
      </c>
      <c r="L545" s="125">
        <f>'Statewide SCE REF NTG'!X15</f>
        <v>0</v>
      </c>
      <c r="M545" s="125">
        <f>'Statewide SCE REF NTG'!Z15</f>
        <v>0</v>
      </c>
      <c r="N545" s="125">
        <f>'Statewide SCE REF NTG'!AB15</f>
        <v>0</v>
      </c>
      <c r="Z545" s="1047"/>
    </row>
    <row r="546" spans="1:26">
      <c r="A546" s="786"/>
      <c r="C546" s="1583" t="s">
        <v>340</v>
      </c>
      <c r="D546" s="1602" t="s">
        <v>133</v>
      </c>
      <c r="E546" s="1603"/>
      <c r="F546" s="1603"/>
      <c r="G546" s="1603"/>
      <c r="H546" s="1604"/>
      <c r="I546" s="1238">
        <f>'Statewide Ref Dispostion'!AN$10</f>
        <v>0.18151916060000001</v>
      </c>
      <c r="J546" s="125">
        <f>'Statewide SCE REF NTG'!U16</f>
        <v>564</v>
      </c>
      <c r="K546" s="125">
        <f>'Statewide SCE REF NTG'!W16</f>
        <v>0</v>
      </c>
      <c r="L546" s="125">
        <f>'Statewide SCE REF NTG'!X16</f>
        <v>0</v>
      </c>
      <c r="M546" s="125">
        <f>'Statewide SCE REF NTG'!Z16</f>
        <v>102.37680657840001</v>
      </c>
      <c r="N546" s="125">
        <f>'Statewide SCE REF NTG'!AB16</f>
        <v>0</v>
      </c>
      <c r="Z546" s="1047"/>
    </row>
    <row r="547" spans="1:26">
      <c r="A547" s="786"/>
      <c r="C547" s="1583"/>
      <c r="D547" s="1592" t="s">
        <v>341</v>
      </c>
      <c r="E547" s="1592" t="s">
        <v>342</v>
      </c>
      <c r="F547" s="1575" t="s">
        <v>344</v>
      </c>
      <c r="G547" s="1575"/>
      <c r="H547" s="1575"/>
      <c r="I547" s="1238">
        <f>'Statewide Ref Dispostion'!AN$11</f>
        <v>1.1642391561073492E-2</v>
      </c>
      <c r="J547" s="125">
        <f>'Statewide SCE REF NTG'!U17</f>
        <v>221.28708348749888</v>
      </c>
      <c r="K547" s="125">
        <f>'Statewide SCE REF NTG'!W17</f>
        <v>1</v>
      </c>
      <c r="L547" s="125">
        <f>'Statewide SCE REF NTG'!X17</f>
        <v>221.28708348749888</v>
      </c>
      <c r="M547" s="125">
        <f>'Statewide SCE REF NTG'!Z17</f>
        <v>2.576310873369422</v>
      </c>
      <c r="N547" s="125">
        <f>'Statewide SCE REF NTG'!AB17</f>
        <v>2.576310873369422</v>
      </c>
      <c r="Z547" s="1047"/>
    </row>
    <row r="548" spans="1:26">
      <c r="A548" s="786"/>
      <c r="C548" s="1583"/>
      <c r="D548" s="1593"/>
      <c r="E548" s="1593"/>
      <c r="F548" s="1575" t="s">
        <v>345</v>
      </c>
      <c r="G548" s="1575"/>
      <c r="H548" s="1575"/>
      <c r="I548" s="1238">
        <f>'Statewide Ref Dispostion'!AN$12</f>
        <v>9.9035037548185934E-2</v>
      </c>
      <c r="J548" s="125">
        <f>'Statewide SCE REF NTG'!U18</f>
        <v>323.28708348749888</v>
      </c>
      <c r="K548" s="125">
        <f>'Statewide SCE REF NTG'!W18</f>
        <v>1</v>
      </c>
      <c r="L548" s="125">
        <f>'Statewide SCE REF NTG'!X18</f>
        <v>323.28708348749888</v>
      </c>
      <c r="M548" s="125">
        <f>'Statewide SCE REF NTG'!Z18</f>
        <v>32.016748452027969</v>
      </c>
      <c r="N548" s="125">
        <f>'Statewide SCE REF NTG'!AB18</f>
        <v>32.016748452027969</v>
      </c>
      <c r="Z548" s="1047"/>
    </row>
    <row r="549" spans="1:26">
      <c r="A549" s="786"/>
      <c r="C549" s="1583"/>
      <c r="D549" s="1593"/>
      <c r="E549" s="1593"/>
      <c r="F549" s="1575" t="s">
        <v>346</v>
      </c>
      <c r="G549" s="1575"/>
      <c r="H549" s="1575"/>
      <c r="I549" s="1238">
        <f>'Statewide Ref Dispostion'!AN$13</f>
        <v>8.4221478298931493E-2</v>
      </c>
      <c r="J549" s="125">
        <f>'Statewide SCE REF NTG'!U19</f>
        <v>506.28708348749888</v>
      </c>
      <c r="K549" s="125">
        <f>'Statewide SCE REF NTG'!W19</f>
        <v>1</v>
      </c>
      <c r="L549" s="125">
        <f>'Statewide SCE REF NTG'!X19</f>
        <v>506.28708348749888</v>
      </c>
      <c r="M549" s="125">
        <f>'Statewide SCE REF NTG'!Z19</f>
        <v>42.640246614971701</v>
      </c>
      <c r="N549" s="125">
        <f>'Statewide SCE REF NTG'!AB19</f>
        <v>42.640246614971701</v>
      </c>
      <c r="Z549" s="1047"/>
    </row>
    <row r="550" spans="1:26">
      <c r="A550" s="786"/>
      <c r="C550" s="1583"/>
      <c r="D550" s="1593"/>
      <c r="E550" s="1593"/>
      <c r="F550" s="1605" t="s">
        <v>494</v>
      </c>
      <c r="G550" s="1605"/>
      <c r="H550" s="774" t="s">
        <v>509</v>
      </c>
      <c r="I550" s="1238">
        <f>'Statewide Ref Dispostion'!AN$14</f>
        <v>5.1842432725117987E-2</v>
      </c>
      <c r="J550" s="125">
        <f>'Statewide SCE REF NTG'!U20</f>
        <v>221.28708348749888</v>
      </c>
      <c r="K550" s="125">
        <f>'Statewide SCE REF NTG'!W20</f>
        <v>1</v>
      </c>
      <c r="L550" s="125">
        <f>'Statewide SCE REF NTG'!X20</f>
        <v>221.28708348749888</v>
      </c>
      <c r="M550" s="125">
        <f>'Statewide SCE REF NTG'!Z20</f>
        <v>11.472060738638229</v>
      </c>
      <c r="N550" s="125">
        <f>'Statewide SCE REF NTG'!AB20</f>
        <v>11.472060738638229</v>
      </c>
      <c r="Z550" s="1047"/>
    </row>
    <row r="551" spans="1:26">
      <c r="A551" s="786"/>
      <c r="C551" s="1583"/>
      <c r="D551" s="1593"/>
      <c r="E551" s="1594"/>
      <c r="F551" s="1605"/>
      <c r="G551" s="1605"/>
      <c r="H551" s="774" t="s">
        <v>511</v>
      </c>
      <c r="I551" s="1238">
        <f>'Statewide Ref Dispostion'!AN$15</f>
        <v>1.4023771042849197E-2</v>
      </c>
      <c r="J551" s="125">
        <f>'Statewide SCE REF NTG'!U21</f>
        <v>927.42084818578326</v>
      </c>
      <c r="K551" s="125">
        <f>'Statewide SCE REF NTG'!W21</f>
        <v>1</v>
      </c>
      <c r="L551" s="125">
        <f>'Statewide SCE REF NTG'!X21</f>
        <v>927.42084818578326</v>
      </c>
      <c r="M551" s="125">
        <f>'Statewide SCE REF NTG'!Z21</f>
        <v>13.005937635322429</v>
      </c>
      <c r="N551" s="125">
        <f>'Statewide SCE REF NTG'!AB21</f>
        <v>13.005937635322429</v>
      </c>
      <c r="Z551" s="1047"/>
    </row>
    <row r="552" spans="1:26">
      <c r="A552" s="786"/>
      <c r="C552" s="1583"/>
      <c r="D552" s="1593"/>
      <c r="E552" s="1592" t="s">
        <v>343</v>
      </c>
      <c r="F552" s="1575" t="s">
        <v>344</v>
      </c>
      <c r="G552" s="1575"/>
      <c r="H552" s="1575"/>
      <c r="I552" s="1238">
        <f>'Statewide Ref Dispostion'!AN$16</f>
        <v>4.3865910057667235E-3</v>
      </c>
      <c r="J552" s="125">
        <f>'Statewide SCE REF NTG'!U22</f>
        <v>214.15947078578324</v>
      </c>
      <c r="K552" s="125">
        <f>'Statewide SCE REF NTG'!W22</f>
        <v>1</v>
      </c>
      <c r="L552" s="125">
        <f>'Statewide SCE REF NTG'!X22</f>
        <v>214.15947078578324</v>
      </c>
      <c r="M552" s="125">
        <f>'Statewide SCE REF NTG'!Z22</f>
        <v>0.93943000834867818</v>
      </c>
      <c r="N552" s="125">
        <f>'Statewide SCE REF NTG'!AB22</f>
        <v>0.93943000834867818</v>
      </c>
      <c r="Z552" s="1047"/>
    </row>
    <row r="553" spans="1:26">
      <c r="A553" s="786"/>
      <c r="C553" s="1583"/>
      <c r="D553" s="1593"/>
      <c r="E553" s="1593"/>
      <c r="F553" s="1575" t="s">
        <v>345</v>
      </c>
      <c r="G553" s="1575"/>
      <c r="H553" s="1575"/>
      <c r="I553" s="1238">
        <f>'Statewide Ref Dispostion'!AN$17</f>
        <v>2.0012557038668416E-2</v>
      </c>
      <c r="J553" s="125">
        <f>'Statewide SCE REF NTG'!U23</f>
        <v>312.87407118578324</v>
      </c>
      <c r="K553" s="125">
        <f>'Statewide SCE REF NTG'!W23</f>
        <v>1</v>
      </c>
      <c r="L553" s="125">
        <f>'Statewide SCE REF NTG'!X23</f>
        <v>312.87407118578324</v>
      </c>
      <c r="M553" s="125">
        <f>'Statewide SCE REF NTG'!Z23</f>
        <v>6.2614101955258894</v>
      </c>
      <c r="N553" s="125">
        <f>'Statewide SCE REF NTG'!AB23</f>
        <v>6.2614101955258894</v>
      </c>
      <c r="Z553" s="1047"/>
    </row>
    <row r="554" spans="1:26">
      <c r="A554" s="786"/>
      <c r="C554" s="1583"/>
      <c r="D554" s="1593"/>
      <c r="E554" s="1593"/>
      <c r="F554" s="1575" t="s">
        <v>346</v>
      </c>
      <c r="G554" s="1575"/>
      <c r="H554" s="1575"/>
      <c r="I554" s="1238">
        <f>'Statewide Ref Dispostion'!AN$18</f>
        <v>1.2032597130769086E-2</v>
      </c>
      <c r="J554" s="125">
        <f>'Statewide SCE REF NTG'!U24</f>
        <v>489.97967778578322</v>
      </c>
      <c r="K554" s="125">
        <f>'Statewide SCE REF NTG'!W24</f>
        <v>1</v>
      </c>
      <c r="L554" s="125">
        <f>'Statewide SCE REF NTG'!X24</f>
        <v>489.97967778578322</v>
      </c>
      <c r="M554" s="125">
        <f>'Statewide SCE REF NTG'!Z24</f>
        <v>5.8957280650603767</v>
      </c>
      <c r="N554" s="125">
        <f>'Statewide SCE REF NTG'!AB24</f>
        <v>5.8957280650603767</v>
      </c>
      <c r="Z554" s="1047"/>
    </row>
    <row r="555" spans="1:26">
      <c r="A555" s="786"/>
      <c r="C555" s="1583"/>
      <c r="D555" s="1594"/>
      <c r="E555" s="1594"/>
      <c r="F555" s="1575" t="s">
        <v>347</v>
      </c>
      <c r="G555" s="1575"/>
      <c r="H555" s="1575"/>
      <c r="I555" s="1238">
        <f>'Statewide Ref Dispostion'!AN$19</f>
        <v>3.6340924882971623E-2</v>
      </c>
      <c r="J555" s="125">
        <f>'Statewide SCE REF NTG'!U25</f>
        <v>927.42084818578326</v>
      </c>
      <c r="K555" s="125">
        <f>'Statewide SCE REF NTG'!W25</f>
        <v>1</v>
      </c>
      <c r="L555" s="125">
        <f>'Statewide SCE REF NTG'!X25</f>
        <v>927.42084818578326</v>
      </c>
      <c r="M555" s="125">
        <f>'Statewide SCE REF NTG'!Z25</f>
        <v>33.703331378821382</v>
      </c>
      <c r="N555" s="125">
        <f>'Statewide SCE REF NTG'!AB25</f>
        <v>33.703331378821382</v>
      </c>
      <c r="Z555" s="1047"/>
    </row>
    <row r="556" spans="1:26">
      <c r="A556" s="786"/>
      <c r="C556" s="1583"/>
      <c r="D556" s="1592" t="s">
        <v>88</v>
      </c>
      <c r="E556" s="1583" t="s">
        <v>348</v>
      </c>
      <c r="F556" s="1592" t="s">
        <v>342</v>
      </c>
      <c r="G556" s="1584" t="s">
        <v>345</v>
      </c>
      <c r="H556" s="1586"/>
      <c r="I556" s="1238">
        <f>'Statewide Ref Dispostion'!AN$20</f>
        <v>7.4297916790629318E-2</v>
      </c>
      <c r="J556" s="125">
        <f>'Statewide SCE REF NTG'!U26</f>
        <v>323.28708348749888</v>
      </c>
      <c r="K556" s="125">
        <f>'Statewide SCE REF NTG'!W26</f>
        <v>1</v>
      </c>
      <c r="L556" s="125">
        <f>'Statewide SCE REF NTG'!X26</f>
        <v>323.28708348749888</v>
      </c>
      <c r="M556" s="125">
        <f>'Statewide SCE REF NTG'!Z26</f>
        <v>24.019556828439423</v>
      </c>
      <c r="N556" s="125">
        <f>'Statewide SCE REF NTG'!AB26</f>
        <v>24.019556828439423</v>
      </c>
      <c r="Z556" s="1047"/>
    </row>
    <row r="557" spans="1:26">
      <c r="A557" s="786"/>
      <c r="C557" s="1583"/>
      <c r="D557" s="1593"/>
      <c r="E557" s="1583"/>
      <c r="F557" s="1593"/>
      <c r="G557" s="1587" t="s">
        <v>346</v>
      </c>
      <c r="H557" s="1587"/>
      <c r="I557" s="1238">
        <f>'Statewide Ref Dispostion'!AN$21</f>
        <v>5.6951714683935721E-2</v>
      </c>
      <c r="J557" s="125">
        <f>'Statewide SCE REF NTG'!U27</f>
        <v>506.28708348749888</v>
      </c>
      <c r="K557" s="125">
        <f>'Statewide SCE REF NTG'!W27</f>
        <v>1</v>
      </c>
      <c r="L557" s="125">
        <f>'Statewide SCE REF NTG'!X27</f>
        <v>506.28708348749888</v>
      </c>
      <c r="M557" s="125">
        <f>'Statewide SCE REF NTG'!Z27</f>
        <v>28.833917526941981</v>
      </c>
      <c r="N557" s="125">
        <f>'Statewide SCE REF NTG'!AB27</f>
        <v>28.833917526941981</v>
      </c>
      <c r="Z557" s="1047"/>
    </row>
    <row r="558" spans="1:26">
      <c r="A558" s="786"/>
      <c r="C558" s="1583"/>
      <c r="D558" s="1593"/>
      <c r="E558" s="1583"/>
      <c r="F558" s="1593"/>
      <c r="G558" s="1595" t="s">
        <v>495</v>
      </c>
      <c r="H558" s="774" t="s">
        <v>509</v>
      </c>
      <c r="I558" s="1238">
        <f>'Statewide Ref Dispostion'!AN$22</f>
        <v>3.297520714939247E-2</v>
      </c>
      <c r="J558" s="125">
        <f>'Statewide SCE REF NTG'!U28</f>
        <v>221.28708348749888</v>
      </c>
      <c r="K558" s="125">
        <f>'Statewide SCE REF NTG'!W28</f>
        <v>1</v>
      </c>
      <c r="L558" s="125">
        <f>'Statewide SCE REF NTG'!X28</f>
        <v>221.28708348749888</v>
      </c>
      <c r="M558" s="125">
        <f>'Statewide SCE REF NTG'!Z28</f>
        <v>7.2969874174851812</v>
      </c>
      <c r="N558" s="125">
        <f>'Statewide SCE REF NTG'!AB28</f>
        <v>7.2969874174851812</v>
      </c>
      <c r="Z558" s="1047"/>
    </row>
    <row r="559" spans="1:26">
      <c r="A559" s="786"/>
      <c r="C559" s="1583"/>
      <c r="D559" s="1593"/>
      <c r="E559" s="1583"/>
      <c r="F559" s="1594"/>
      <c r="G559" s="1596"/>
      <c r="H559" s="774" t="s">
        <v>511</v>
      </c>
      <c r="I559" s="1238">
        <f>'Statewide Ref Dispostion'!AN$23</f>
        <v>2.8933750518450236E-3</v>
      </c>
      <c r="J559" s="125">
        <f>'Statewide SCE REF NTG'!U29</f>
        <v>927.42084818578326</v>
      </c>
      <c r="K559" s="125">
        <f>'Statewide SCE REF NTG'!W29</f>
        <v>1</v>
      </c>
      <c r="L559" s="125">
        <f>'Statewide SCE REF NTG'!X29</f>
        <v>927.42084818578326</v>
      </c>
      <c r="M559" s="125">
        <f>'Statewide SCE REF NTG'!Z29</f>
        <v>2.6833763447016965</v>
      </c>
      <c r="N559" s="125">
        <f>'Statewide SCE REF NTG'!AB29</f>
        <v>2.6833763447016965</v>
      </c>
      <c r="Z559" s="1047"/>
    </row>
    <row r="560" spans="1:26">
      <c r="A560" s="786"/>
      <c r="C560" s="1583"/>
      <c r="D560" s="1593"/>
      <c r="E560" s="1583"/>
      <c r="F560" s="1597" t="s">
        <v>343</v>
      </c>
      <c r="G560" s="1600" t="s">
        <v>345</v>
      </c>
      <c r="H560" s="1601"/>
      <c r="I560" s="1238">
        <f>'Statewide Ref Dispostion'!AN$24</f>
        <v>9.318003797670742E-3</v>
      </c>
      <c r="J560" s="125">
        <f>'Statewide SCE REF NTG'!U30</f>
        <v>312.87407118578324</v>
      </c>
      <c r="K560" s="125">
        <f>'Statewide SCE REF NTG'!W30</f>
        <v>1</v>
      </c>
      <c r="L560" s="125">
        <f>'Statewide SCE REF NTG'!X30</f>
        <v>312.87407118578324</v>
      </c>
      <c r="M560" s="125">
        <f>'Statewide SCE REF NTG'!Z30</f>
        <v>2.9153617835018344</v>
      </c>
      <c r="N560" s="125">
        <f>'Statewide SCE REF NTG'!AB30</f>
        <v>2.9153617835018344</v>
      </c>
      <c r="Z560" s="1047"/>
    </row>
    <row r="561" spans="1:26">
      <c r="A561" s="786"/>
      <c r="C561" s="1583"/>
      <c r="D561" s="1593"/>
      <c r="E561" s="1583"/>
      <c r="F561" s="1598"/>
      <c r="G561" s="1587" t="s">
        <v>346</v>
      </c>
      <c r="H561" s="1587"/>
      <c r="I561" s="1238">
        <f>'Statewide Ref Dispostion'!AN$25</f>
        <v>5.3098210650899032E-3</v>
      </c>
      <c r="J561" s="125">
        <f>'Statewide SCE REF NTG'!U31</f>
        <v>489.97967778578322</v>
      </c>
      <c r="K561" s="125">
        <f>'Statewide SCE REF NTG'!W31</f>
        <v>1</v>
      </c>
      <c r="L561" s="125">
        <f>'Statewide SCE REF NTG'!X31</f>
        <v>489.97967778578322</v>
      </c>
      <c r="M561" s="125">
        <f>'Statewide SCE REF NTG'!Z31</f>
        <v>2.6017044145729149</v>
      </c>
      <c r="N561" s="125">
        <f>'Statewide SCE REF NTG'!AB31</f>
        <v>2.6017044145729149</v>
      </c>
      <c r="Z561" s="1047"/>
    </row>
    <row r="562" spans="1:26">
      <c r="A562" s="786"/>
      <c r="C562" s="1583"/>
      <c r="D562" s="1593"/>
      <c r="E562" s="1583"/>
      <c r="F562" s="1599"/>
      <c r="G562" s="1587" t="s">
        <v>347</v>
      </c>
      <c r="H562" s="1587"/>
      <c r="I562" s="1238">
        <f>'Statewide Ref Dispostion'!AN$26</f>
        <v>1.1841082338023101E-3</v>
      </c>
      <c r="J562" s="125">
        <f>'Statewide SCE REF NTG'!U32</f>
        <v>927.42084818578326</v>
      </c>
      <c r="K562" s="125">
        <f>'Statewide SCE REF NTG'!W32</f>
        <v>1</v>
      </c>
      <c r="L562" s="125">
        <f>'Statewide SCE REF NTG'!X32</f>
        <v>927.42084818578326</v>
      </c>
      <c r="M562" s="125">
        <f>'Statewide SCE REF NTG'!Z32</f>
        <v>1.0981666625367081</v>
      </c>
      <c r="N562" s="125">
        <f>'Statewide SCE REF NTG'!AB32</f>
        <v>1.0981666625367081</v>
      </c>
      <c r="Z562" s="1047"/>
    </row>
    <row r="563" spans="1:26">
      <c r="A563" s="786"/>
      <c r="C563" s="1583"/>
      <c r="D563" s="1593"/>
      <c r="E563" s="1583" t="s">
        <v>342</v>
      </c>
      <c r="F563" s="1584" t="s">
        <v>349</v>
      </c>
      <c r="G563" s="1585"/>
      <c r="H563" s="1586"/>
      <c r="I563" s="1238">
        <f>'Statewide Ref Dispostion'!AN$27</f>
        <v>1.105280935239851E-2</v>
      </c>
      <c r="J563" s="125">
        <f>'Statewide SCE REF NTG'!U33</f>
        <v>323.28708348749888</v>
      </c>
      <c r="K563" s="125">
        <f>'Statewide SCE REF NTG'!W33</f>
        <v>1</v>
      </c>
      <c r="L563" s="125">
        <f>'Statewide SCE REF NTG'!X33</f>
        <v>323.28708348749888</v>
      </c>
      <c r="M563" s="125">
        <f>'Statewide SCE REF NTG'!Z33</f>
        <v>3.5732304998802653</v>
      </c>
      <c r="N563" s="125">
        <f>'Statewide SCE REF NTG'!AB33</f>
        <v>3.5732304998802653</v>
      </c>
      <c r="Z563" s="1047"/>
    </row>
    <row r="564" spans="1:26">
      <c r="A564" s="786"/>
      <c r="C564" s="1583"/>
      <c r="D564" s="1593"/>
      <c r="E564" s="1583"/>
      <c r="F564" s="1575" t="s">
        <v>350</v>
      </c>
      <c r="G564" s="1575"/>
      <c r="H564" s="1575"/>
      <c r="I564" s="1238">
        <f>'Statewide Ref Dispostion'!AN$28</f>
        <v>5.6345838280219213E-3</v>
      </c>
      <c r="J564" s="125">
        <f>'Statewide SCE REF NTG'!U34</f>
        <v>323.28708348749888</v>
      </c>
      <c r="K564" s="125">
        <f>'Statewide SCE REF NTG'!W34</f>
        <v>1</v>
      </c>
      <c r="L564" s="125">
        <f>'Statewide SCE REF NTG'!X34</f>
        <v>323.28708348749888</v>
      </c>
      <c r="M564" s="125">
        <f>'Statewide SCE REF NTG'!Z34</f>
        <v>1.821588172427034</v>
      </c>
      <c r="N564" s="125">
        <f>'Statewide SCE REF NTG'!AB34</f>
        <v>1.821588172427034</v>
      </c>
      <c r="Z564" s="1047"/>
    </row>
    <row r="565" spans="1:26">
      <c r="A565" s="786"/>
      <c r="C565" s="1583"/>
      <c r="D565" s="1593"/>
      <c r="E565" s="1583"/>
      <c r="F565" s="1575" t="s">
        <v>57</v>
      </c>
      <c r="G565" s="1575"/>
      <c r="H565" s="1575"/>
      <c r="I565" s="1238">
        <f>'Statewide Ref Dispostion'!AN$29</f>
        <v>6.6700356800320753E-3</v>
      </c>
      <c r="J565" s="125">
        <f>'Statewide SCE REF NTG'!U35</f>
        <v>323.28708348749888</v>
      </c>
      <c r="K565" s="125">
        <f>'Statewide SCE REF NTG'!W35</f>
        <v>1</v>
      </c>
      <c r="L565" s="125">
        <f>'Statewide SCE REF NTG'!X35</f>
        <v>323.28708348749888</v>
      </c>
      <c r="M565" s="125">
        <f>'Statewide SCE REF NTG'!Z35</f>
        <v>2.1563363817551258</v>
      </c>
      <c r="N565" s="125">
        <f>'Statewide SCE REF NTG'!AB35</f>
        <v>2.1563363817551258</v>
      </c>
      <c r="Z565" s="1047"/>
    </row>
    <row r="566" spans="1:26">
      <c r="A566" s="786"/>
      <c r="C566" s="1583"/>
      <c r="D566" s="1593"/>
      <c r="E566" s="1588" t="s">
        <v>266</v>
      </c>
      <c r="F566" s="1588"/>
      <c r="G566" s="1588"/>
      <c r="H566" s="1588"/>
      <c r="I566" s="1238">
        <f>'Statewide Ref Dispostion'!AN$30</f>
        <v>0.11329664889249251</v>
      </c>
      <c r="J566" s="125">
        <f>'Statewide SCE REF NTG'!U36</f>
        <v>564</v>
      </c>
      <c r="K566" s="125">
        <f>'Statewide SCE REF NTG'!W36</f>
        <v>0</v>
      </c>
      <c r="L566" s="125">
        <f>'Statewide SCE REF NTG'!X36</f>
        <v>0</v>
      </c>
      <c r="M566" s="125">
        <f>'Statewide SCE REF NTG'!Z36</f>
        <v>63.899309975365775</v>
      </c>
      <c r="N566" s="125">
        <f>'Statewide SCE REF NTG'!AB36</f>
        <v>0</v>
      </c>
      <c r="Z566" s="1047"/>
    </row>
    <row r="567" spans="1:26" ht="18">
      <c r="A567" s="786"/>
      <c r="C567" s="1589" t="s">
        <v>541</v>
      </c>
      <c r="D567" s="1590"/>
      <c r="E567" s="1590"/>
      <c r="F567" s="1590"/>
      <c r="G567" s="1590"/>
      <c r="H567" s="1590"/>
      <c r="I567" s="1590"/>
      <c r="J567" s="1590"/>
      <c r="K567" s="1590"/>
      <c r="L567" s="1591"/>
      <c r="M567" s="1246">
        <f>'Statewide SCE REF NTG'!Z37</f>
        <v>518.661962675778</v>
      </c>
      <c r="N567" s="1246">
        <f>'Statewide SCE REF NTG'!AB37</f>
        <v>352.3858461220122</v>
      </c>
      <c r="Z567" s="1047"/>
    </row>
    <row r="568" spans="1:26" ht="18">
      <c r="A568" s="786"/>
      <c r="C568" s="1580" t="s">
        <v>360</v>
      </c>
      <c r="D568" s="1580"/>
      <c r="E568" s="1580"/>
      <c r="F568" s="1580"/>
      <c r="G568" s="1580"/>
      <c r="H568" s="1580"/>
      <c r="I568" s="1580"/>
      <c r="J568" s="1580"/>
      <c r="K568" s="1580"/>
      <c r="L568" s="1580"/>
      <c r="M568" s="1581">
        <f>N567/M567</f>
        <v>0.67941332019809775</v>
      </c>
      <c r="N568" s="1581"/>
      <c r="Z568" s="1047"/>
    </row>
    <row r="569" spans="1:26">
      <c r="A569" s="786"/>
      <c r="Z569" s="1047"/>
    </row>
    <row r="570" spans="1:26">
      <c r="A570" s="786"/>
      <c r="Z570" s="1047"/>
    </row>
    <row r="571" spans="1:26" ht="15" thickBot="1">
      <c r="A571" s="786"/>
      <c r="C571" s="822" t="s">
        <v>917</v>
      </c>
      <c r="Z571" s="1047"/>
    </row>
    <row r="572" spans="1:26" ht="57.6" thickBot="1">
      <c r="A572" s="786"/>
      <c r="C572" s="1556" t="s">
        <v>519</v>
      </c>
      <c r="D572" s="1557"/>
      <c r="E572" s="1557"/>
      <c r="F572" s="1557"/>
      <c r="G572" s="1557"/>
      <c r="H572" s="1558"/>
      <c r="I572" s="1245" t="s">
        <v>904</v>
      </c>
      <c r="J572" s="844" t="s">
        <v>112</v>
      </c>
      <c r="K572" s="844" t="s">
        <v>124</v>
      </c>
      <c r="L572" s="844" t="s">
        <v>128</v>
      </c>
      <c r="M572" s="844" t="s">
        <v>914</v>
      </c>
      <c r="N572" s="844" t="s">
        <v>915</v>
      </c>
      <c r="Z572" s="1047"/>
    </row>
    <row r="573" spans="1:26">
      <c r="A573" s="786"/>
      <c r="C573" s="1559"/>
      <c r="D573" s="1560"/>
      <c r="E573" s="1560"/>
      <c r="F573" s="1560"/>
      <c r="G573" s="1560"/>
      <c r="H573" s="1561"/>
      <c r="I573" s="1233" t="s">
        <v>520</v>
      </c>
      <c r="J573" s="1244" t="s">
        <v>521</v>
      </c>
      <c r="K573" s="1244" t="s">
        <v>522</v>
      </c>
      <c r="L573" s="1234" t="s">
        <v>540</v>
      </c>
      <c r="M573" s="1244" t="s">
        <v>538</v>
      </c>
      <c r="N573" s="1244" t="s">
        <v>539</v>
      </c>
      <c r="Z573" s="1047"/>
    </row>
    <row r="574" spans="1:26">
      <c r="A574" s="786"/>
      <c r="C574" s="1575" t="s">
        <v>267</v>
      </c>
      <c r="D574" s="1575"/>
      <c r="E574" s="1575"/>
      <c r="F574" s="1575"/>
      <c r="G574" s="1575"/>
      <c r="H574" s="1575"/>
      <c r="I574" s="1238">
        <f>'Statewide Ref Dispostion'!AN$8</f>
        <v>0.136803497976</v>
      </c>
      <c r="J574" s="125">
        <f>'Statewide SDGE REF NTG'!U14</f>
        <v>811.24522349999995</v>
      </c>
      <c r="K574" s="125">
        <f>'Statewide SDGE REF NTG'!W14</f>
        <v>1</v>
      </c>
      <c r="L574" s="125">
        <f>'Statewide SDGE REF NTG'!X14</f>
        <v>811.24522349999995</v>
      </c>
      <c r="M574" s="125">
        <f>'Statewide SDGE REF NTG'!Z14</f>
        <v>110.98118429112191</v>
      </c>
      <c r="N574" s="125">
        <f>'Statewide SDGE REF NTG'!AB14</f>
        <v>110.98118429112191</v>
      </c>
      <c r="Z574" s="1047"/>
    </row>
    <row r="575" spans="1:26">
      <c r="A575" s="786"/>
      <c r="C575" s="1575" t="s">
        <v>268</v>
      </c>
      <c r="D575" s="1575"/>
      <c r="E575" s="1575"/>
      <c r="F575" s="1575"/>
      <c r="G575" s="1575"/>
      <c r="H575" s="1575"/>
      <c r="I575" s="1238">
        <f>'Statewide Ref Dispostion'!AN$9</f>
        <v>2.3024502023999999E-2</v>
      </c>
      <c r="J575" s="125">
        <f>'Statewide SDGE REF NTG'!U15</f>
        <v>0</v>
      </c>
      <c r="K575" s="125">
        <f>'Statewide SDGE REF NTG'!W15</f>
        <v>1</v>
      </c>
      <c r="L575" s="125">
        <f>'Statewide SDGE REF NTG'!X15</f>
        <v>0</v>
      </c>
      <c r="M575" s="125">
        <f>'Statewide SDGE REF NTG'!Z15</f>
        <v>0</v>
      </c>
      <c r="N575" s="125">
        <f>'Statewide SDGE REF NTG'!AB15</f>
        <v>0</v>
      </c>
      <c r="Z575" s="1047"/>
    </row>
    <row r="576" spans="1:26">
      <c r="A576" s="786"/>
      <c r="C576" s="1583" t="s">
        <v>340</v>
      </c>
      <c r="D576" s="1602" t="s">
        <v>133</v>
      </c>
      <c r="E576" s="1603"/>
      <c r="F576" s="1603"/>
      <c r="G576" s="1603"/>
      <c r="H576" s="1604"/>
      <c r="I576" s="1238">
        <f>'Statewide Ref Dispostion'!AN$10</f>
        <v>0.18151916060000001</v>
      </c>
      <c r="J576" s="125">
        <f>'Statewide SDGE REF NTG'!U16</f>
        <v>384</v>
      </c>
      <c r="K576" s="125">
        <f>'Statewide SDGE REF NTG'!W16</f>
        <v>0</v>
      </c>
      <c r="L576" s="125">
        <f>'Statewide SDGE REF NTG'!X16</f>
        <v>0</v>
      </c>
      <c r="M576" s="125">
        <f>'Statewide SDGE REF NTG'!Z16</f>
        <v>69.70335767040001</v>
      </c>
      <c r="N576" s="125">
        <f>'Statewide SDGE REF NTG'!AB16</f>
        <v>0</v>
      </c>
      <c r="Z576" s="1047"/>
    </row>
    <row r="577" spans="1:26">
      <c r="A577" s="786"/>
      <c r="C577" s="1583"/>
      <c r="D577" s="1592" t="s">
        <v>341</v>
      </c>
      <c r="E577" s="1592" t="s">
        <v>342</v>
      </c>
      <c r="F577" s="1575" t="s">
        <v>344</v>
      </c>
      <c r="G577" s="1575"/>
      <c r="H577" s="1575"/>
      <c r="I577" s="1238">
        <f>'Statewide Ref Dispostion'!AN$11</f>
        <v>1.1642391561073492E-2</v>
      </c>
      <c r="J577" s="125">
        <f>'Statewide SDGE REF NTG'!U17</f>
        <v>129</v>
      </c>
      <c r="K577" s="125">
        <f>'Statewide SDGE REF NTG'!W17</f>
        <v>1</v>
      </c>
      <c r="L577" s="125">
        <f>'Statewide SDGE REF NTG'!X17</f>
        <v>129</v>
      </c>
      <c r="M577" s="125">
        <f>'Statewide SDGE REF NTG'!Z17</f>
        <v>1.5018685113784804</v>
      </c>
      <c r="N577" s="125">
        <f>'Statewide SDGE REF NTG'!AB17</f>
        <v>1.5018685113784804</v>
      </c>
      <c r="Z577" s="1047"/>
    </row>
    <row r="578" spans="1:26">
      <c r="A578" s="786"/>
      <c r="C578" s="1583"/>
      <c r="D578" s="1593"/>
      <c r="E578" s="1593"/>
      <c r="F578" s="1575" t="s">
        <v>345</v>
      </c>
      <c r="G578" s="1575"/>
      <c r="H578" s="1575"/>
      <c r="I578" s="1238">
        <f>'Statewide Ref Dispostion'!AN$12</f>
        <v>9.9035037548185934E-2</v>
      </c>
      <c r="J578" s="125">
        <f>'Statewide SDGE REF NTG'!U18</f>
        <v>193</v>
      </c>
      <c r="K578" s="125">
        <f>'Statewide SDGE REF NTG'!W18</f>
        <v>1</v>
      </c>
      <c r="L578" s="125">
        <f>'Statewide SDGE REF NTG'!X18</f>
        <v>193</v>
      </c>
      <c r="M578" s="125">
        <f>'Statewide SDGE REF NTG'!Z18</f>
        <v>19.113762246799887</v>
      </c>
      <c r="N578" s="125">
        <f>'Statewide SDGE REF NTG'!AB18</f>
        <v>19.113762246799887</v>
      </c>
      <c r="Z578" s="1047"/>
    </row>
    <row r="579" spans="1:26">
      <c r="A579" s="786"/>
      <c r="C579" s="1583"/>
      <c r="D579" s="1593"/>
      <c r="E579" s="1593"/>
      <c r="F579" s="1575" t="s">
        <v>346</v>
      </c>
      <c r="G579" s="1575"/>
      <c r="H579" s="1575"/>
      <c r="I579" s="1238">
        <f>'Statewide Ref Dispostion'!AN$13</f>
        <v>8.4221478298931493E-2</v>
      </c>
      <c r="J579" s="125">
        <f>'Statewide SDGE REF NTG'!U19</f>
        <v>401</v>
      </c>
      <c r="K579" s="125">
        <f>'Statewide SDGE REF NTG'!W19</f>
        <v>1</v>
      </c>
      <c r="L579" s="125">
        <f>'Statewide SDGE REF NTG'!X19</f>
        <v>401</v>
      </c>
      <c r="M579" s="125">
        <f>'Statewide SDGE REF NTG'!Z19</f>
        <v>33.772812797871531</v>
      </c>
      <c r="N579" s="125">
        <f>'Statewide SDGE REF NTG'!AB19</f>
        <v>33.772812797871531</v>
      </c>
      <c r="Z579" s="1047"/>
    </row>
    <row r="580" spans="1:26">
      <c r="A580" s="786"/>
      <c r="C580" s="1583"/>
      <c r="D580" s="1593"/>
      <c r="E580" s="1593"/>
      <c r="F580" s="1605" t="s">
        <v>494</v>
      </c>
      <c r="G580" s="1605"/>
      <c r="H580" s="774" t="s">
        <v>509</v>
      </c>
      <c r="I580" s="1238">
        <f>'Statewide Ref Dispostion'!AN$14</f>
        <v>5.1842432725117987E-2</v>
      </c>
      <c r="J580" s="125">
        <f>'Statewide SDGE REF NTG'!U20</f>
        <v>92.600000000000023</v>
      </c>
      <c r="K580" s="125">
        <f>'Statewide SDGE REF NTG'!W20</f>
        <v>1</v>
      </c>
      <c r="L580" s="125">
        <f>'Statewide SDGE REF NTG'!X20</f>
        <v>92.600000000000023</v>
      </c>
      <c r="M580" s="125">
        <f>'Statewide SDGE REF NTG'!Z20</f>
        <v>4.8006092703459267</v>
      </c>
      <c r="N580" s="125">
        <f>'Statewide SDGE REF NTG'!AB20</f>
        <v>4.8006092703459267</v>
      </c>
      <c r="Z580" s="1047"/>
    </row>
    <row r="581" spans="1:26">
      <c r="A581" s="786"/>
      <c r="C581" s="1583"/>
      <c r="D581" s="1593"/>
      <c r="E581" s="1594"/>
      <c r="F581" s="1605"/>
      <c r="G581" s="1605"/>
      <c r="H581" s="774" t="s">
        <v>511</v>
      </c>
      <c r="I581" s="1238">
        <f>'Statewide Ref Dispostion'!AN$15</f>
        <v>1.4023771042849197E-2</v>
      </c>
      <c r="J581" s="125">
        <f>'Statewide SDGE REF NTG'!U21</f>
        <v>811.24522349999995</v>
      </c>
      <c r="K581" s="125">
        <f>'Statewide SDGE REF NTG'!W21</f>
        <v>1</v>
      </c>
      <c r="L581" s="125">
        <f>'Statewide SDGE REF NTG'!X21</f>
        <v>811.24522349999995</v>
      </c>
      <c r="M581" s="125">
        <f>'Statewide SDGE REF NTG'!Z21</f>
        <v>11.376717273969025</v>
      </c>
      <c r="N581" s="125">
        <f>'Statewide SDGE REF NTG'!AB21</f>
        <v>11.376717273969025</v>
      </c>
      <c r="Z581" s="1047"/>
    </row>
    <row r="582" spans="1:26">
      <c r="A582" s="786"/>
      <c r="C582" s="1583"/>
      <c r="D582" s="1593"/>
      <c r="E582" s="1592" t="s">
        <v>343</v>
      </c>
      <c r="F582" s="1575" t="s">
        <v>344</v>
      </c>
      <c r="G582" s="1575"/>
      <c r="H582" s="1575"/>
      <c r="I582" s="1238">
        <f>'Statewide Ref Dispostion'!AN$16</f>
        <v>4.3865910057667235E-3</v>
      </c>
      <c r="J582" s="125">
        <f>'Statewide SDGE REF NTG'!U22</f>
        <v>122.68538549999994</v>
      </c>
      <c r="K582" s="125">
        <f>'Statewide SDGE REF NTG'!W22</f>
        <v>1</v>
      </c>
      <c r="L582" s="125">
        <f>'Statewide SDGE REF NTG'!X22</f>
        <v>122.68538549999994</v>
      </c>
      <c r="M582" s="125">
        <f>'Statewide SDGE REF NTG'!Z22</f>
        <v>0.53817060857332288</v>
      </c>
      <c r="N582" s="125">
        <f>'Statewide SDGE REF NTG'!AB22</f>
        <v>0.53817060857332288</v>
      </c>
      <c r="Z582" s="1047"/>
    </row>
    <row r="583" spans="1:26">
      <c r="A583" s="786"/>
      <c r="C583" s="1583"/>
      <c r="D583" s="1593"/>
      <c r="E583" s="1593"/>
      <c r="F583" s="1575" t="s">
        <v>345</v>
      </c>
      <c r="G583" s="1575"/>
      <c r="H583" s="1575"/>
      <c r="I583" s="1238">
        <f>'Statewide Ref Dispostion'!AN$17</f>
        <v>2.0012557038668416E-2</v>
      </c>
      <c r="J583" s="125">
        <f>'Statewide SDGE REF NTG'!U23</f>
        <v>183.55255349999993</v>
      </c>
      <c r="K583" s="125">
        <f>'Statewide SDGE REF NTG'!W23</f>
        <v>1</v>
      </c>
      <c r="L583" s="125">
        <f>'Statewide SDGE REF NTG'!X23</f>
        <v>183.55255349999993</v>
      </c>
      <c r="M583" s="125">
        <f>'Statewide SDGE REF NTG'!Z23</f>
        <v>3.6733559465119847</v>
      </c>
      <c r="N583" s="125">
        <f>'Statewide SDGE REF NTG'!AB23</f>
        <v>3.6733559465119847</v>
      </c>
      <c r="Z583" s="1047"/>
    </row>
    <row r="584" spans="1:26">
      <c r="A584" s="786"/>
      <c r="C584" s="1583"/>
      <c r="D584" s="1593"/>
      <c r="E584" s="1593"/>
      <c r="F584" s="1575" t="s">
        <v>346</v>
      </c>
      <c r="G584" s="1575"/>
      <c r="H584" s="1575"/>
      <c r="I584" s="1238">
        <f>'Statewide Ref Dispostion'!AN$18</f>
        <v>1.2032597130769086E-2</v>
      </c>
      <c r="J584" s="125">
        <f>'Statewide SDGE REF NTG'!U24</f>
        <v>381.37084949999996</v>
      </c>
      <c r="K584" s="125">
        <f>'Statewide SDGE REF NTG'!W24</f>
        <v>1</v>
      </c>
      <c r="L584" s="125">
        <f>'Statewide SDGE REF NTG'!X24</f>
        <v>381.37084949999996</v>
      </c>
      <c r="M584" s="125">
        <f>'Statewide SDGE REF NTG'!Z24</f>
        <v>4.5888817894526683</v>
      </c>
      <c r="N584" s="125">
        <f>'Statewide SDGE REF NTG'!AB24</f>
        <v>4.5888817894526683</v>
      </c>
      <c r="Z584" s="1047"/>
    </row>
    <row r="585" spans="1:26">
      <c r="A585" s="786"/>
      <c r="C585" s="1583"/>
      <c r="D585" s="1594"/>
      <c r="E585" s="1594"/>
      <c r="F585" s="1575" t="s">
        <v>347</v>
      </c>
      <c r="G585" s="1575"/>
      <c r="H585" s="1575"/>
      <c r="I585" s="1238">
        <f>'Statewide Ref Dispostion'!AN$19</f>
        <v>3.6340924882971623E-2</v>
      </c>
      <c r="J585" s="125">
        <f>'Statewide SDGE REF NTG'!U25</f>
        <v>811.24522349999995</v>
      </c>
      <c r="K585" s="125">
        <f>'Statewide SDGE REF NTG'!W25</f>
        <v>1</v>
      </c>
      <c r="L585" s="125">
        <f>'Statewide SDGE REF NTG'!X25</f>
        <v>811.24522349999995</v>
      </c>
      <c r="M585" s="125">
        <f>'Statewide SDGE REF NTG'!Z25</f>
        <v>29.481401728883025</v>
      </c>
      <c r="N585" s="125">
        <f>'Statewide SDGE REF NTG'!AB25</f>
        <v>29.481401728883025</v>
      </c>
      <c r="Z585" s="1047"/>
    </row>
    <row r="586" spans="1:26">
      <c r="A586" s="786"/>
      <c r="C586" s="1583"/>
      <c r="D586" s="1592" t="s">
        <v>88</v>
      </c>
      <c r="E586" s="1583" t="s">
        <v>348</v>
      </c>
      <c r="F586" s="1592" t="s">
        <v>342</v>
      </c>
      <c r="G586" s="1584" t="s">
        <v>345</v>
      </c>
      <c r="H586" s="1586"/>
      <c r="I586" s="1238">
        <f>'Statewide Ref Dispostion'!AN$20</f>
        <v>7.4297916790629318E-2</v>
      </c>
      <c r="J586" s="125">
        <f>'Statewide SDGE REF NTG'!U26</f>
        <v>193</v>
      </c>
      <c r="K586" s="125">
        <f>'Statewide SDGE REF NTG'!W26</f>
        <v>1</v>
      </c>
      <c r="L586" s="125">
        <f>'Statewide SDGE REF NTG'!X26</f>
        <v>193</v>
      </c>
      <c r="M586" s="125">
        <f>'Statewide SDGE REF NTG'!Z26</f>
        <v>14.339497940591459</v>
      </c>
      <c r="N586" s="125">
        <f>'Statewide SDGE REF NTG'!AB26</f>
        <v>14.339497940591459</v>
      </c>
      <c r="Z586" s="1047"/>
    </row>
    <row r="587" spans="1:26">
      <c r="A587" s="786"/>
      <c r="C587" s="1583"/>
      <c r="D587" s="1593"/>
      <c r="E587" s="1583"/>
      <c r="F587" s="1593"/>
      <c r="G587" s="1587" t="s">
        <v>346</v>
      </c>
      <c r="H587" s="1587"/>
      <c r="I587" s="1238">
        <f>'Statewide Ref Dispostion'!AN$21</f>
        <v>5.6951714683935721E-2</v>
      </c>
      <c r="J587" s="125">
        <f>'Statewide SDGE REF NTG'!U27</f>
        <v>401</v>
      </c>
      <c r="K587" s="125">
        <f>'Statewide SDGE REF NTG'!W27</f>
        <v>1</v>
      </c>
      <c r="L587" s="125">
        <f>'Statewide SDGE REF NTG'!X27</f>
        <v>401</v>
      </c>
      <c r="M587" s="125">
        <f>'Statewide SDGE REF NTG'!Z27</f>
        <v>22.837637588258225</v>
      </c>
      <c r="N587" s="125">
        <f>'Statewide SDGE REF NTG'!AB27</f>
        <v>22.837637588258225</v>
      </c>
      <c r="Z587" s="1047"/>
    </row>
    <row r="588" spans="1:26">
      <c r="A588" s="786"/>
      <c r="C588" s="1583"/>
      <c r="D588" s="1593"/>
      <c r="E588" s="1583"/>
      <c r="F588" s="1593"/>
      <c r="G588" s="1595" t="s">
        <v>495</v>
      </c>
      <c r="H588" s="774" t="s">
        <v>509</v>
      </c>
      <c r="I588" s="1238">
        <f>'Statewide Ref Dispostion'!AN$22</f>
        <v>3.297520714939247E-2</v>
      </c>
      <c r="J588" s="125">
        <f>'Statewide SDGE REF NTG'!U28</f>
        <v>92.600000000000023</v>
      </c>
      <c r="K588" s="125">
        <f>'Statewide SDGE REF NTG'!W28</f>
        <v>1</v>
      </c>
      <c r="L588" s="125">
        <f>'Statewide SDGE REF NTG'!X28</f>
        <v>92.600000000000023</v>
      </c>
      <c r="M588" s="125">
        <f>'Statewide SDGE REF NTG'!Z28</f>
        <v>3.0535041820337434</v>
      </c>
      <c r="N588" s="125">
        <f>'Statewide SDGE REF NTG'!AB28</f>
        <v>3.0535041820337434</v>
      </c>
      <c r="Z588" s="1047"/>
    </row>
    <row r="589" spans="1:26">
      <c r="A589" s="786"/>
      <c r="C589" s="1583"/>
      <c r="D589" s="1593"/>
      <c r="E589" s="1583"/>
      <c r="F589" s="1594"/>
      <c r="G589" s="1596"/>
      <c r="H589" s="774" t="s">
        <v>511</v>
      </c>
      <c r="I589" s="1238">
        <f>'Statewide Ref Dispostion'!AN$23</f>
        <v>2.8933750518450236E-3</v>
      </c>
      <c r="J589" s="125">
        <f>'Statewide SDGE REF NTG'!U29</f>
        <v>811.24522349999995</v>
      </c>
      <c r="K589" s="125">
        <f>'Statewide SDGE REF NTG'!W29</f>
        <v>1</v>
      </c>
      <c r="L589" s="125">
        <f>'Statewide SDGE REF NTG'!X29</f>
        <v>811.24522349999995</v>
      </c>
      <c r="M589" s="125">
        <f>'Statewide SDGE REF NTG'!Z29</f>
        <v>2.3472366906033399</v>
      </c>
      <c r="N589" s="125">
        <f>'Statewide SDGE REF NTG'!AB29</f>
        <v>2.3472366906033399</v>
      </c>
      <c r="Z589" s="1047"/>
    </row>
    <row r="590" spans="1:26">
      <c r="A590" s="786"/>
      <c r="C590" s="1583"/>
      <c r="D590" s="1593"/>
      <c r="E590" s="1583"/>
      <c r="F590" s="1597" t="s">
        <v>343</v>
      </c>
      <c r="G590" s="1600" t="s">
        <v>345</v>
      </c>
      <c r="H590" s="1601"/>
      <c r="I590" s="1238">
        <f>'Statewide Ref Dispostion'!AN$24</f>
        <v>9.318003797670742E-3</v>
      </c>
      <c r="J590" s="125">
        <f>'Statewide SDGE REF NTG'!U30</f>
        <v>183.55255349999993</v>
      </c>
      <c r="K590" s="125">
        <f>'Statewide SDGE REF NTG'!W30</f>
        <v>1</v>
      </c>
      <c r="L590" s="125">
        <f>'Statewide SDGE REF NTG'!X30</f>
        <v>183.55255349999993</v>
      </c>
      <c r="M590" s="125">
        <f>'Statewide SDGE REF NTG'!Z30</f>
        <v>1.7103433905851615</v>
      </c>
      <c r="N590" s="125">
        <f>'Statewide SDGE REF NTG'!AB30</f>
        <v>1.7103433905851615</v>
      </c>
      <c r="Z590" s="1047"/>
    </row>
    <row r="591" spans="1:26">
      <c r="A591" s="786"/>
      <c r="C591" s="1583"/>
      <c r="D591" s="1593"/>
      <c r="E591" s="1583"/>
      <c r="F591" s="1598"/>
      <c r="G591" s="1587" t="s">
        <v>346</v>
      </c>
      <c r="H591" s="1587"/>
      <c r="I591" s="1238">
        <f>'Statewide Ref Dispostion'!AN$25</f>
        <v>5.3098210650899032E-3</v>
      </c>
      <c r="J591" s="125">
        <f>'Statewide SDGE REF NTG'!U31</f>
        <v>381.37084949999996</v>
      </c>
      <c r="K591" s="125">
        <f>'Statewide SDGE REF NTG'!W31</f>
        <v>1</v>
      </c>
      <c r="L591" s="125">
        <f>'Statewide SDGE REF NTG'!X31</f>
        <v>381.37084949999996</v>
      </c>
      <c r="M591" s="125">
        <f>'Statewide SDGE REF NTG'!Z31</f>
        <v>2.0250109702863308</v>
      </c>
      <c r="N591" s="125">
        <f>'Statewide SDGE REF NTG'!AB31</f>
        <v>2.0250109702863308</v>
      </c>
      <c r="Z591" s="1047"/>
    </row>
    <row r="592" spans="1:26">
      <c r="A592" s="786"/>
      <c r="C592" s="1583"/>
      <c r="D592" s="1593"/>
      <c r="E592" s="1583"/>
      <c r="F592" s="1599"/>
      <c r="G592" s="1587" t="s">
        <v>347</v>
      </c>
      <c r="H592" s="1587"/>
      <c r="I592" s="1238">
        <f>'Statewide Ref Dispostion'!AN$26</f>
        <v>1.1841082338023101E-3</v>
      </c>
      <c r="J592" s="125">
        <f>'Statewide SDGE REF NTG'!U32</f>
        <v>811.24522349999995</v>
      </c>
      <c r="K592" s="125">
        <f>'Statewide SDGE REF NTG'!W32</f>
        <v>1</v>
      </c>
      <c r="L592" s="125">
        <f>'Statewide SDGE REF NTG'!X32</f>
        <v>811.24522349999995</v>
      </c>
      <c r="M592" s="125">
        <f>'Statewide SDGE REF NTG'!Z32</f>
        <v>0.96060214877914529</v>
      </c>
      <c r="N592" s="125">
        <f>'Statewide SDGE REF NTG'!AB32</f>
        <v>0.96060214877914529</v>
      </c>
      <c r="Z592" s="1047"/>
    </row>
    <row r="593" spans="1:26">
      <c r="A593" s="786"/>
      <c r="C593" s="1583"/>
      <c r="D593" s="1593"/>
      <c r="E593" s="1583" t="s">
        <v>342</v>
      </c>
      <c r="F593" s="1584" t="s">
        <v>349</v>
      </c>
      <c r="G593" s="1585"/>
      <c r="H593" s="1586"/>
      <c r="I593" s="1238">
        <f>'Statewide Ref Dispostion'!AN$27</f>
        <v>1.105280935239851E-2</v>
      </c>
      <c r="J593" s="125">
        <f>'Statewide SDGE REF NTG'!U33</f>
        <v>193</v>
      </c>
      <c r="K593" s="125">
        <f>'Statewide SDGE REF NTG'!W33</f>
        <v>1</v>
      </c>
      <c r="L593" s="125">
        <f>'Statewide SDGE REF NTG'!X33</f>
        <v>193</v>
      </c>
      <c r="M593" s="125">
        <f>'Statewide SDGE REF NTG'!Z33</f>
        <v>2.1331922050129126</v>
      </c>
      <c r="N593" s="125">
        <f>'Statewide SDGE REF NTG'!AB33</f>
        <v>2.1331922050129126</v>
      </c>
      <c r="Z593" s="1047"/>
    </row>
    <row r="594" spans="1:26">
      <c r="A594" s="786"/>
      <c r="C594" s="1583"/>
      <c r="D594" s="1593"/>
      <c r="E594" s="1583"/>
      <c r="F594" s="1575" t="s">
        <v>350</v>
      </c>
      <c r="G594" s="1575"/>
      <c r="H594" s="1575"/>
      <c r="I594" s="1238">
        <f>'Statewide Ref Dispostion'!AN$28</f>
        <v>5.6345838280219213E-3</v>
      </c>
      <c r="J594" s="125">
        <f>'Statewide SDGE REF NTG'!U34</f>
        <v>193</v>
      </c>
      <c r="K594" s="125">
        <f>'Statewide SDGE REF NTG'!W34</f>
        <v>1</v>
      </c>
      <c r="L594" s="125">
        <f>'Statewide SDGE REF NTG'!X34</f>
        <v>193</v>
      </c>
      <c r="M594" s="125">
        <f>'Statewide SDGE REF NTG'!Z34</f>
        <v>1.0874746788082308</v>
      </c>
      <c r="N594" s="125">
        <f>'Statewide SDGE REF NTG'!AB34</f>
        <v>1.0874746788082308</v>
      </c>
      <c r="Z594" s="1047"/>
    </row>
    <row r="595" spans="1:26">
      <c r="A595" s="786"/>
      <c r="C595" s="1583"/>
      <c r="D595" s="1593"/>
      <c r="E595" s="1583"/>
      <c r="F595" s="1575" t="s">
        <v>57</v>
      </c>
      <c r="G595" s="1575"/>
      <c r="H595" s="1575"/>
      <c r="I595" s="1238">
        <f>'Statewide Ref Dispostion'!AN$29</f>
        <v>6.6700356800320753E-3</v>
      </c>
      <c r="J595" s="125">
        <f>'Statewide SDGE REF NTG'!U35</f>
        <v>193</v>
      </c>
      <c r="K595" s="125">
        <f>'Statewide SDGE REF NTG'!W35</f>
        <v>1</v>
      </c>
      <c r="L595" s="125">
        <f>'Statewide SDGE REF NTG'!X35</f>
        <v>193</v>
      </c>
      <c r="M595" s="125">
        <f>'Statewide SDGE REF NTG'!Z35</f>
        <v>1.2873168862461906</v>
      </c>
      <c r="N595" s="125">
        <f>'Statewide SDGE REF NTG'!AB35</f>
        <v>1.2873168862461906</v>
      </c>
      <c r="Z595" s="1047"/>
    </row>
    <row r="596" spans="1:26">
      <c r="A596" s="786"/>
      <c r="C596" s="1583"/>
      <c r="D596" s="1593"/>
      <c r="E596" s="1588" t="s">
        <v>266</v>
      </c>
      <c r="F596" s="1588"/>
      <c r="G596" s="1588"/>
      <c r="H596" s="1588"/>
      <c r="I596" s="1238">
        <f>'Statewide Ref Dispostion'!AN$30</f>
        <v>0.11329664889249251</v>
      </c>
      <c r="J596" s="125">
        <f>'Statewide SDGE REF NTG'!U36</f>
        <v>384</v>
      </c>
      <c r="K596" s="125">
        <f>'Statewide SDGE REF NTG'!W36</f>
        <v>0</v>
      </c>
      <c r="L596" s="125">
        <f>'Statewide SDGE REF NTG'!X36</f>
        <v>0</v>
      </c>
      <c r="M596" s="125">
        <f>'Statewide SDGE REF NTG'!Z36</f>
        <v>43.505913174717122</v>
      </c>
      <c r="N596" s="125">
        <f>'Statewide SDGE REF NTG'!AB36</f>
        <v>0</v>
      </c>
      <c r="Z596" s="1047"/>
    </row>
    <row r="597" spans="1:26" ht="18">
      <c r="A597" s="786"/>
      <c r="C597" s="1589" t="s">
        <v>541</v>
      </c>
      <c r="D597" s="1590"/>
      <c r="E597" s="1590"/>
      <c r="F597" s="1590"/>
      <c r="G597" s="1590"/>
      <c r="H597" s="1590"/>
      <c r="I597" s="1590"/>
      <c r="J597" s="1590"/>
      <c r="K597" s="1590"/>
      <c r="L597" s="1591"/>
      <c r="M597" s="1246">
        <f>'Statewide SDGE REF NTG'!Z37</f>
        <v>384.8198519912296</v>
      </c>
      <c r="N597" s="1246">
        <f>'Statewide SDGE REF NTG'!AB37</f>
        <v>271.61058114611239</v>
      </c>
      <c r="Z597" s="1047"/>
    </row>
    <row r="598" spans="1:26" ht="18">
      <c r="A598" s="786"/>
      <c r="C598" s="1580" t="s">
        <v>360</v>
      </c>
      <c r="D598" s="1580"/>
      <c r="E598" s="1580"/>
      <c r="F598" s="1580"/>
      <c r="G598" s="1580"/>
      <c r="H598" s="1580"/>
      <c r="I598" s="1580"/>
      <c r="J598" s="1580"/>
      <c r="K598" s="1580"/>
      <c r="L598" s="1580"/>
      <c r="M598" s="1581">
        <f>N597/M597</f>
        <v>0.70581229045403471</v>
      </c>
      <c r="N598" s="1581"/>
      <c r="Z598" s="1047"/>
    </row>
    <row r="599" spans="1:26">
      <c r="A599" s="786"/>
      <c r="Z599" s="1047"/>
    </row>
    <row r="600" spans="1:26">
      <c r="A600" s="786"/>
      <c r="Z600" s="1047"/>
    </row>
    <row r="601" spans="1:26">
      <c r="A601" s="786"/>
      <c r="Z601" s="1047"/>
    </row>
    <row r="602" spans="1:26">
      <c r="A602" s="786"/>
      <c r="C602" s="822" t="s">
        <v>918</v>
      </c>
      <c r="Z602" s="1047"/>
    </row>
    <row r="603" spans="1:26">
      <c r="A603" s="786"/>
      <c r="C603" s="916" t="s">
        <v>879</v>
      </c>
      <c r="Z603" s="1047"/>
    </row>
    <row r="604" spans="1:26">
      <c r="A604" s="786"/>
      <c r="Z604" s="1047"/>
    </row>
    <row r="605" spans="1:26">
      <c r="A605" s="786"/>
      <c r="Z605" s="1047"/>
    </row>
    <row r="606" spans="1:26">
      <c r="A606" s="786"/>
      <c r="Z606" s="1047"/>
    </row>
    <row r="607" spans="1:26">
      <c r="A607" s="786"/>
      <c r="C607" s="822" t="s">
        <v>548</v>
      </c>
      <c r="Z607" s="1047"/>
    </row>
    <row r="608" spans="1:26" ht="39">
      <c r="A608" s="786"/>
      <c r="C608" s="1247" t="s">
        <v>0</v>
      </c>
      <c r="D608" s="1248" t="s">
        <v>554</v>
      </c>
      <c r="E608" s="1172" t="s">
        <v>566</v>
      </c>
      <c r="F608" s="1249" t="s">
        <v>838</v>
      </c>
      <c r="G608" s="1172" t="s">
        <v>288</v>
      </c>
      <c r="H608" s="1249" t="s">
        <v>839</v>
      </c>
      <c r="I608" s="1172" t="s">
        <v>120</v>
      </c>
      <c r="J608" s="1249" t="s">
        <v>919</v>
      </c>
      <c r="Z608" s="1047"/>
    </row>
    <row r="609" spans="1:26">
      <c r="A609" s="786"/>
      <c r="C609" s="1582" t="s">
        <v>290</v>
      </c>
      <c r="D609" s="1582"/>
      <c r="E609" s="1582"/>
      <c r="F609" s="1582"/>
      <c r="G609" s="1582"/>
      <c r="H609" s="1582"/>
      <c r="I609" s="1582"/>
      <c r="J609" s="1582"/>
      <c r="Z609" s="1047"/>
    </row>
    <row r="610" spans="1:26">
      <c r="A610" s="786"/>
      <c r="C610" s="1136" t="s">
        <v>256</v>
      </c>
      <c r="D610" s="1250">
        <f t="shared" ref="D610:I612" si="7">D16</f>
        <v>738</v>
      </c>
      <c r="E610" s="1251">
        <f t="shared" si="7"/>
        <v>510.09581670678864</v>
      </c>
      <c r="F610" s="1252">
        <f t="shared" si="7"/>
        <v>0.26109325241397136</v>
      </c>
      <c r="G610" s="1253">
        <f t="shared" si="7"/>
        <v>344.07790710639603</v>
      </c>
      <c r="H610" s="1252">
        <f t="shared" si="7"/>
        <v>0.27986305295674968</v>
      </c>
      <c r="I610" s="1254">
        <f t="shared" si="7"/>
        <v>0.67453583392976069</v>
      </c>
      <c r="J610" s="1145">
        <f>'Statewide PGE REF NTG'!AD44</f>
        <v>0.45221432868846195</v>
      </c>
      <c r="Z610" s="1047"/>
    </row>
    <row r="611" spans="1:26">
      <c r="A611" s="786"/>
      <c r="C611" s="1136" t="s">
        <v>18</v>
      </c>
      <c r="D611" s="1250">
        <f t="shared" si="7"/>
        <v>835</v>
      </c>
      <c r="E611" s="1251">
        <f t="shared" si="7"/>
        <v>518.661962675778</v>
      </c>
      <c r="F611" s="1252">
        <f t="shared" si="7"/>
        <v>0.24822026481977566</v>
      </c>
      <c r="G611" s="1253">
        <f t="shared" si="7"/>
        <v>352.3858461220122</v>
      </c>
      <c r="H611" s="1252">
        <f t="shared" si="7"/>
        <v>0.26461509363509234</v>
      </c>
      <c r="I611" s="1254">
        <f t="shared" si="7"/>
        <v>0.67941332019809775</v>
      </c>
      <c r="J611" s="1145">
        <f>'Statewide SCE REF NTG'!AD44</f>
        <v>0.43074415163841057</v>
      </c>
      <c r="Z611" s="1047"/>
    </row>
    <row r="612" spans="1:26">
      <c r="A612" s="786"/>
      <c r="C612" s="1136" t="s">
        <v>257</v>
      </c>
      <c r="D612" s="1250">
        <f t="shared" si="7"/>
        <v>957</v>
      </c>
      <c r="E612" s="1251">
        <f t="shared" si="7"/>
        <v>384.8198519912296</v>
      </c>
      <c r="F612" s="1252">
        <f t="shared" si="7"/>
        <v>0.25977100592214508</v>
      </c>
      <c r="G612" s="1253">
        <f t="shared" si="7"/>
        <v>271.61058114611239</v>
      </c>
      <c r="H612" s="1252">
        <f t="shared" si="7"/>
        <v>0.28346961526212694</v>
      </c>
      <c r="I612" s="1254">
        <f t="shared" si="7"/>
        <v>0.70581229045403471</v>
      </c>
      <c r="J612" s="1145">
        <f>'Statewide SDGE REF NTG'!AD44</f>
        <v>0.46079807313012994</v>
      </c>
      <c r="Z612" s="1047"/>
    </row>
    <row r="613" spans="1:26">
      <c r="A613" s="786"/>
      <c r="C613" s="1582" t="s">
        <v>289</v>
      </c>
      <c r="D613" s="1582"/>
      <c r="E613" s="1582"/>
      <c r="F613" s="1582"/>
      <c r="G613" s="1582"/>
      <c r="H613" s="1582"/>
      <c r="I613" s="1582"/>
      <c r="J613" s="1582"/>
      <c r="Z613" s="1047"/>
    </row>
    <row r="614" spans="1:26">
      <c r="A614" s="786"/>
      <c r="C614" s="1136" t="s">
        <v>161</v>
      </c>
      <c r="D614" s="1255">
        <f t="shared" ref="D614:I614" si="8">D20</f>
        <v>818</v>
      </c>
      <c r="E614" s="1253">
        <f t="shared" si="8"/>
        <v>770.91180802081556</v>
      </c>
      <c r="F614" s="1252">
        <f t="shared" si="8"/>
        <v>0.18016516944246933</v>
      </c>
      <c r="G614" s="1253">
        <f t="shared" si="8"/>
        <v>576.69338243259187</v>
      </c>
      <c r="H614" s="1252">
        <f t="shared" si="8"/>
        <v>0.21471247373732646</v>
      </c>
      <c r="I614" s="1254">
        <f t="shared" si="8"/>
        <v>0.74806660947787751</v>
      </c>
      <c r="J614" s="1145">
        <f>'All IOU FRZ NTG'!AU36</f>
        <v>0.37996426264204047</v>
      </c>
      <c r="Z614" s="1047"/>
    </row>
    <row r="615" spans="1:26">
      <c r="A615" s="786"/>
      <c r="Z615" s="1047"/>
    </row>
    <row r="616" spans="1:26">
      <c r="A616" s="786"/>
      <c r="Z616" s="1047"/>
    </row>
    <row r="617" spans="1:26">
      <c r="A617" s="786"/>
      <c r="Z617" s="1047"/>
    </row>
    <row r="618" spans="1:26">
      <c r="A618" s="786"/>
      <c r="C618" s="839"/>
      <c r="D618"/>
      <c r="E618"/>
      <c r="F618"/>
      <c r="G618"/>
      <c r="H618"/>
      <c r="I618"/>
      <c r="Z618" s="1047"/>
    </row>
    <row r="619" spans="1:26" ht="15" thickBot="1">
      <c r="A619" s="786"/>
      <c r="C619" s="822" t="s">
        <v>549</v>
      </c>
      <c r="D619"/>
      <c r="E619"/>
      <c r="F619"/>
      <c r="G619"/>
      <c r="H619"/>
      <c r="I619"/>
      <c r="Z619" s="1047"/>
    </row>
    <row r="620" spans="1:26" ht="38.4" thickBot="1">
      <c r="A620" s="786"/>
      <c r="C620" s="1576" t="s">
        <v>0</v>
      </c>
      <c r="D620" s="1578" t="s">
        <v>332</v>
      </c>
      <c r="E620" s="1045" t="s">
        <v>920</v>
      </c>
      <c r="F620" s="1045" t="s">
        <v>112</v>
      </c>
      <c r="G620" s="1045" t="s">
        <v>397</v>
      </c>
      <c r="H620" s="1045" t="s">
        <v>398</v>
      </c>
      <c r="I620" s="1045" t="s">
        <v>399</v>
      </c>
      <c r="Z620" s="1047"/>
    </row>
    <row r="621" spans="1:26" ht="15" thickBot="1">
      <c r="A621" s="786"/>
      <c r="C621" s="1577"/>
      <c r="D621" s="1579"/>
      <c r="E621" s="1256" t="s">
        <v>520</v>
      </c>
      <c r="F621" s="1256" t="s">
        <v>521</v>
      </c>
      <c r="G621" s="1258" t="s">
        <v>921</v>
      </c>
      <c r="H621" s="1258" t="s">
        <v>922</v>
      </c>
      <c r="I621" s="1258" t="s">
        <v>923</v>
      </c>
      <c r="Z621" s="1047"/>
    </row>
    <row r="622" spans="1:26" ht="15" thickBot="1">
      <c r="A622" s="786"/>
      <c r="C622" s="1570" t="s">
        <v>256</v>
      </c>
      <c r="D622" s="1257" t="s">
        <v>101</v>
      </c>
      <c r="E622" s="1260">
        <f>'kW Claims'!N5</f>
        <v>2.2219617426234251E-4</v>
      </c>
      <c r="F622" s="1259">
        <f>'kW Claims'!O5</f>
        <v>510.09581670678864</v>
      </c>
      <c r="G622" s="1260">
        <f>'kW Claims'!P5</f>
        <v>0.11334133897947353</v>
      </c>
      <c r="H622" s="1259">
        <f>'kW Claims'!Q5</f>
        <v>344.07790710639603</v>
      </c>
      <c r="I622" s="1260">
        <f>'kW Claims'!R5</f>
        <v>7.6452794607234864E-2</v>
      </c>
      <c r="Z622" s="1047"/>
    </row>
    <row r="623" spans="1:26" ht="15" thickBot="1">
      <c r="A623" s="786"/>
      <c r="C623" s="1571"/>
      <c r="D623" s="1257" t="s">
        <v>25</v>
      </c>
      <c r="E623" s="1260">
        <f>'kW Claims'!N6</f>
        <v>2.3336341938737394E-4</v>
      </c>
      <c r="F623" s="1259">
        <f>'kW Claims'!O6</f>
        <v>770.91180802081556</v>
      </c>
      <c r="G623" s="1260">
        <f>'kW Claims'!P6</f>
        <v>0.17990261556584028</v>
      </c>
      <c r="H623" s="1259">
        <f>'kW Claims'!Q6</f>
        <v>576.69338243259187</v>
      </c>
      <c r="I623" s="1260">
        <f>'kW Claims'!R6</f>
        <v>0.13457913966254018</v>
      </c>
      <c r="Z623" s="1047"/>
    </row>
    <row r="624" spans="1:26" ht="15" thickBot="1">
      <c r="A624" s="786"/>
      <c r="C624" s="1570" t="s">
        <v>18</v>
      </c>
      <c r="D624" s="1257" t="s">
        <v>101</v>
      </c>
      <c r="E624" s="1260">
        <f>'kW Claims'!N7</f>
        <v>1.9365918253242979E-4</v>
      </c>
      <c r="F624" s="1259">
        <f>'kW Claims'!O7</f>
        <v>518.661962675778</v>
      </c>
      <c r="G624" s="1260">
        <f>'kW Claims'!P7</f>
        <v>0.10044365170245678</v>
      </c>
      <c r="H624" s="1259">
        <f>'kW Claims'!Q7</f>
        <v>352.3858461220122</v>
      </c>
      <c r="I624" s="1260">
        <f>'kW Claims'!R7</f>
        <v>6.8242754895987481E-2</v>
      </c>
      <c r="Z624" s="1047"/>
    </row>
    <row r="625" spans="1:26" ht="15" thickBot="1">
      <c r="A625" s="786"/>
      <c r="C625" s="1571"/>
      <c r="D625" s="1257" t="s">
        <v>25</v>
      </c>
      <c r="E625" s="1260">
        <f>'kW Claims'!N8</f>
        <v>1.9750338716273736E-4</v>
      </c>
      <c r="F625" s="1259">
        <f>'kW Claims'!O8</f>
        <v>770.91180802081556</v>
      </c>
      <c r="G625" s="1260">
        <f>'kW Claims'!P8</f>
        <v>0.15225769328786098</v>
      </c>
      <c r="H625" s="1259">
        <f>'kW Claims'!Q8</f>
        <v>576.69338243259187</v>
      </c>
      <c r="I625" s="1260">
        <f>'kW Claims'!R8</f>
        <v>0.11389889638477275</v>
      </c>
      <c r="Z625" s="1047"/>
    </row>
    <row r="626" spans="1:26" ht="15" thickBot="1">
      <c r="A626" s="786"/>
      <c r="C626" s="1570" t="s">
        <v>257</v>
      </c>
      <c r="D626" s="1257" t="s">
        <v>101</v>
      </c>
      <c r="E626" s="1260">
        <f>'kW Claims'!N9</f>
        <v>1.5557037194444636E-4</v>
      </c>
      <c r="F626" s="1259">
        <f>'kW Claims'!O9</f>
        <v>384.8198519912296</v>
      </c>
      <c r="G626" s="1260">
        <f>'kW Claims'!P9</f>
        <v>5.9866567505882387E-2</v>
      </c>
      <c r="H626" s="1259">
        <f>'kW Claims'!Q9</f>
        <v>271.61058114611239</v>
      </c>
      <c r="I626" s="1260">
        <f>'kW Claims'!R9</f>
        <v>4.2254559132947934E-2</v>
      </c>
      <c r="Z626" s="1047"/>
    </row>
    <row r="627" spans="1:26" ht="15" thickBot="1">
      <c r="A627" s="786"/>
      <c r="C627" s="1571"/>
      <c r="D627" s="1257" t="s">
        <v>25</v>
      </c>
      <c r="E627" s="1260">
        <f>'kW Claims'!N10</f>
        <v>1.5572861403476265E-4</v>
      </c>
      <c r="F627" s="1259">
        <f>'kW Claims'!O10</f>
        <v>770.91180802081556</v>
      </c>
      <c r="G627" s="1260">
        <f>'kW Claims'!P10</f>
        <v>0.12005302740611462</v>
      </c>
      <c r="H627" s="1259">
        <f>'kW Claims'!Q10</f>
        <v>576.69338243259187</v>
      </c>
      <c r="I627" s="1260">
        <f>'kW Claims'!R10</f>
        <v>8.9807661169246877E-2</v>
      </c>
      <c r="Z627" s="1047"/>
    </row>
    <row r="628" spans="1:26">
      <c r="A628" s="786"/>
      <c r="Z628" s="1047"/>
    </row>
    <row r="629" spans="1:26">
      <c r="A629" s="786"/>
      <c r="Z629" s="1047"/>
    </row>
    <row r="630" spans="1:26">
      <c r="A630" s="786"/>
      <c r="Z630" s="1047"/>
    </row>
    <row r="631" spans="1:26">
      <c r="A631" s="786"/>
      <c r="Z631" s="1047"/>
    </row>
    <row r="632" spans="1:26" ht="15" thickBot="1">
      <c r="A632" s="786"/>
      <c r="C632" s="822" t="s">
        <v>924</v>
      </c>
      <c r="D632"/>
      <c r="E632"/>
      <c r="F632"/>
      <c r="G632"/>
      <c r="H632"/>
      <c r="I632"/>
      <c r="Z632" s="1047"/>
    </row>
    <row r="633" spans="1:26" ht="51" thickBot="1">
      <c r="A633" s="786"/>
      <c r="C633" s="1576" t="s">
        <v>0</v>
      </c>
      <c r="D633" s="1578" t="s">
        <v>332</v>
      </c>
      <c r="E633" s="1045" t="s">
        <v>925</v>
      </c>
      <c r="F633" s="1045" t="s">
        <v>112</v>
      </c>
      <c r="G633" s="1045" t="s">
        <v>926</v>
      </c>
      <c r="H633" s="1045" t="s">
        <v>398</v>
      </c>
      <c r="I633" s="1045" t="s">
        <v>927</v>
      </c>
      <c r="Z633" s="1047"/>
    </row>
    <row r="634" spans="1:26" ht="15" thickBot="1">
      <c r="A634" s="786"/>
      <c r="C634" s="1577"/>
      <c r="D634" s="1579"/>
      <c r="E634" s="1256" t="s">
        <v>520</v>
      </c>
      <c r="F634" s="1256" t="s">
        <v>521</v>
      </c>
      <c r="G634" s="1258" t="s">
        <v>921</v>
      </c>
      <c r="H634" s="1258" t="s">
        <v>922</v>
      </c>
      <c r="I634" s="1258" t="s">
        <v>923</v>
      </c>
      <c r="Z634" s="1047"/>
    </row>
    <row r="635" spans="1:26" ht="15" thickBot="1">
      <c r="A635" s="786"/>
      <c r="C635" s="1570" t="s">
        <v>256</v>
      </c>
      <c r="D635" s="1257" t="s">
        <v>101</v>
      </c>
      <c r="E635" s="1260">
        <f>'kW Claims'!N15</f>
        <v>-1.0078250675194234E-2</v>
      </c>
      <c r="F635" s="1259">
        <f>'kW Claims'!O15</f>
        <v>510.09581670678864</v>
      </c>
      <c r="G635" s="1260">
        <f>'kW Claims'!P15</f>
        <v>-5.140873509138947</v>
      </c>
      <c r="H635" s="1259">
        <f>'kW Claims'!Q15</f>
        <v>344.07790710639603</v>
      </c>
      <c r="I635" s="1260">
        <f>'kW Claims'!R15</f>
        <v>-3.4677033996144546</v>
      </c>
      <c r="Z635" s="1047"/>
    </row>
    <row r="636" spans="1:26" ht="15" thickBot="1">
      <c r="A636" s="786"/>
      <c r="C636" s="1571"/>
      <c r="D636" s="1257" t="s">
        <v>25</v>
      </c>
      <c r="E636" s="1260">
        <f>'kW Claims'!N16</f>
        <v>-5.6899572685561763E-3</v>
      </c>
      <c r="F636" s="1259">
        <f>'kW Claims'!O16</f>
        <v>770.91180802081556</v>
      </c>
      <c r="G636" s="1260">
        <f>'kW Claims'!P16</f>
        <v>-4.3864552454638233</v>
      </c>
      <c r="H636" s="1259">
        <f>'kW Claims'!Q16</f>
        <v>576.69338243259187</v>
      </c>
      <c r="I636" s="1260">
        <f>'kW Claims'!R16</f>
        <v>-3.2813607031005727</v>
      </c>
      <c r="Z636" s="1047"/>
    </row>
    <row r="637" spans="1:26" ht="15" thickBot="1">
      <c r="A637" s="786"/>
      <c r="C637" s="1570" t="s">
        <v>18</v>
      </c>
      <c r="D637" s="1257" t="s">
        <v>101</v>
      </c>
      <c r="E637" s="1260">
        <f>'kW Claims'!N17</f>
        <v>-2.1001970133982289E-2</v>
      </c>
      <c r="F637" s="1259">
        <f>'kW Claims'!O17</f>
        <v>518.661962675778</v>
      </c>
      <c r="G637" s="1260">
        <f>'kW Claims'!P17</f>
        <v>-10.892923049749326</v>
      </c>
      <c r="H637" s="1259">
        <f>'kW Claims'!Q17</f>
        <v>352.3858461220122</v>
      </c>
      <c r="I637" s="1260">
        <f>'kW Claims'!R17</f>
        <v>-7.4007970158925787</v>
      </c>
      <c r="Z637" s="1047"/>
    </row>
    <row r="638" spans="1:26" ht="15" thickBot="1">
      <c r="A638" s="786"/>
      <c r="C638" s="1571"/>
      <c r="D638" s="1257" t="s">
        <v>25</v>
      </c>
      <c r="E638" s="1260">
        <f>'kW Claims'!N18</f>
        <v>-2.0106440792622172E-2</v>
      </c>
      <c r="F638" s="1259">
        <f>'kW Claims'!O18</f>
        <v>770.91180802081556</v>
      </c>
      <c r="G638" s="1260">
        <f>'kW Claims'!P18</f>
        <v>-15.500292624303839</v>
      </c>
      <c r="H638" s="1259">
        <f>'kW Claims'!Q18</f>
        <v>576.69338243259187</v>
      </c>
      <c r="I638" s="1260">
        <f>'kW Claims'!R18</f>
        <v>-11.595251349377925</v>
      </c>
      <c r="Z638" s="1047"/>
    </row>
    <row r="639" spans="1:26" ht="15" thickBot="1">
      <c r="A639" s="786"/>
      <c r="C639" s="1570" t="s">
        <v>257</v>
      </c>
      <c r="D639" s="1257" t="s">
        <v>101</v>
      </c>
      <c r="E639" s="1260">
        <f>'kW Claims'!N19</f>
        <v>-9.8763335022358355E-3</v>
      </c>
      <c r="F639" s="1259">
        <f>'kW Claims'!O19</f>
        <v>384.8198519912296</v>
      </c>
      <c r="G639" s="1260">
        <f>'kW Claims'!P19</f>
        <v>-3.8006091965464166</v>
      </c>
      <c r="H639" s="1259">
        <f>'kW Claims'!Q19</f>
        <v>271.61058114611239</v>
      </c>
      <c r="I639" s="1260">
        <f>'kW Claims'!R19</f>
        <v>-2.6825166821350948</v>
      </c>
      <c r="Z639" s="1047"/>
    </row>
    <row r="640" spans="1:26" ht="15" thickBot="1">
      <c r="A640" s="786"/>
      <c r="C640" s="1571"/>
      <c r="D640" s="1257" t="s">
        <v>25</v>
      </c>
      <c r="E640" s="1260">
        <f>'kW Claims'!N20</f>
        <v>-6.9143404035616274E-3</v>
      </c>
      <c r="F640" s="1259">
        <f>'kW Claims'!O20</f>
        <v>770.91180802081556</v>
      </c>
      <c r="G640" s="1260">
        <f>'kW Claims'!P20</f>
        <v>-5.3303466617810695</v>
      </c>
      <c r="H640" s="1259">
        <f>'kW Claims'!Q20</f>
        <v>576.69338243259187</v>
      </c>
      <c r="I640" s="1260">
        <f>'kW Claims'!R20</f>
        <v>-3.9874543546202874</v>
      </c>
      <c r="Z640" s="1047"/>
    </row>
    <row r="641" spans="1:26">
      <c r="A641" s="786"/>
      <c r="Z641" s="1047"/>
    </row>
    <row r="642" spans="1:26">
      <c r="A642" s="786"/>
      <c r="Z642" s="1047"/>
    </row>
    <row r="643" spans="1:26">
      <c r="A643" s="786"/>
      <c r="Z643" s="1047"/>
    </row>
    <row r="644" spans="1:26">
      <c r="A644" s="786"/>
      <c r="C644" s="822" t="s">
        <v>928</v>
      </c>
      <c r="Z644" s="1047"/>
    </row>
    <row r="645" spans="1:26">
      <c r="A645" s="786"/>
      <c r="C645" s="916" t="s">
        <v>930</v>
      </c>
      <c r="Z645" s="1047"/>
    </row>
    <row r="646" spans="1:26">
      <c r="A646" s="786"/>
      <c r="Z646" s="1047"/>
    </row>
    <row r="647" spans="1:26" ht="15" thickBot="1">
      <c r="A647" s="786"/>
      <c r="C647" s="822" t="s">
        <v>929</v>
      </c>
      <c r="D647"/>
      <c r="E647"/>
      <c r="F647"/>
      <c r="G647"/>
      <c r="Z647" s="1047"/>
    </row>
    <row r="648" spans="1:26" ht="48" thickBot="1">
      <c r="A648" s="786"/>
      <c r="C648" s="827" t="s">
        <v>0</v>
      </c>
      <c r="D648" s="828" t="s">
        <v>554</v>
      </c>
      <c r="E648" s="828" t="s">
        <v>555</v>
      </c>
      <c r="F648" s="828" t="s">
        <v>556</v>
      </c>
      <c r="G648" s="828" t="s">
        <v>557</v>
      </c>
      <c r="Z648" s="1047"/>
    </row>
    <row r="649" spans="1:26" ht="15" thickBot="1">
      <c r="A649" s="786"/>
      <c r="C649" s="1572" t="s">
        <v>290</v>
      </c>
      <c r="D649" s="1573"/>
      <c r="E649" s="1573"/>
      <c r="F649" s="1573"/>
      <c r="G649" s="1574"/>
      <c r="Z649" s="1047"/>
    </row>
    <row r="650" spans="1:26" ht="15" thickBot="1">
      <c r="A650" s="786"/>
      <c r="C650" s="1048" t="s">
        <v>256</v>
      </c>
      <c r="D650" s="830">
        <v>738</v>
      </c>
      <c r="E650" s="831">
        <f>E16</f>
        <v>510.09581670678864</v>
      </c>
      <c r="F650" s="831">
        <f>D650*0.61</f>
        <v>450.18</v>
      </c>
      <c r="G650" s="832">
        <f>G16</f>
        <v>344.07790710639603</v>
      </c>
      <c r="Z650" s="1047"/>
    </row>
    <row r="651" spans="1:26" ht="15" thickBot="1">
      <c r="A651" s="786"/>
      <c r="C651" s="1048" t="s">
        <v>18</v>
      </c>
      <c r="D651" s="830">
        <v>835</v>
      </c>
      <c r="E651" s="831">
        <f t="shared" ref="E651:E652" si="9">E17</f>
        <v>518.661962675778</v>
      </c>
      <c r="F651" s="831">
        <f>D651*0.6154747551</f>
        <v>513.92142050850009</v>
      </c>
      <c r="G651" s="832">
        <f t="shared" ref="G651:G652" si="10">G17</f>
        <v>352.3858461220122</v>
      </c>
      <c r="Z651" s="1047"/>
    </row>
    <row r="652" spans="1:26" ht="15" thickBot="1">
      <c r="A652" s="786"/>
      <c r="C652" s="1048" t="s">
        <v>257</v>
      </c>
      <c r="D652" s="830">
        <v>957</v>
      </c>
      <c r="E652" s="831">
        <f t="shared" si="9"/>
        <v>384.8198519912296</v>
      </c>
      <c r="F652" s="831">
        <f>D652*0.614</f>
        <v>587.59799999999996</v>
      </c>
      <c r="G652" s="832">
        <f t="shared" si="10"/>
        <v>271.61058114611239</v>
      </c>
      <c r="Z652" s="1047"/>
    </row>
    <row r="653" spans="1:26" ht="15" thickBot="1">
      <c r="A653" s="786"/>
      <c r="C653" s="1572" t="s">
        <v>289</v>
      </c>
      <c r="D653" s="1573"/>
      <c r="E653" s="1573"/>
      <c r="F653" s="1573"/>
      <c r="G653" s="1574"/>
      <c r="Z653" s="1047"/>
    </row>
    <row r="654" spans="1:26" ht="15" thickBot="1">
      <c r="A654" s="786"/>
      <c r="C654" s="1048" t="s">
        <v>256</v>
      </c>
      <c r="D654" s="830">
        <v>565</v>
      </c>
      <c r="E654" s="1562">
        <f>E20</f>
        <v>770.91180802081556</v>
      </c>
      <c r="F654" s="830">
        <v>395</v>
      </c>
      <c r="G654" s="1562">
        <f>G20</f>
        <v>576.69338243259187</v>
      </c>
      <c r="Z654" s="1047"/>
    </row>
    <row r="655" spans="1:26" ht="15" thickBot="1">
      <c r="A655" s="786"/>
      <c r="C655" s="1048" t="s">
        <v>18</v>
      </c>
      <c r="D655" s="830">
        <v>963</v>
      </c>
      <c r="E655" s="1563"/>
      <c r="F655" s="830">
        <v>674</v>
      </c>
      <c r="G655" s="1563"/>
      <c r="Z655" s="1047"/>
    </row>
    <row r="656" spans="1:26" ht="15" thickBot="1">
      <c r="A656" s="786"/>
      <c r="C656" s="1048" t="s">
        <v>257</v>
      </c>
      <c r="D656" s="830">
        <v>720</v>
      </c>
      <c r="E656" s="1564"/>
      <c r="F656" s="830">
        <v>504</v>
      </c>
      <c r="G656" s="1564"/>
      <c r="Z656" s="1047"/>
    </row>
    <row r="657" spans="1:26">
      <c r="A657" s="786"/>
      <c r="C657" s="839"/>
      <c r="D657"/>
      <c r="E657"/>
      <c r="F657"/>
      <c r="G657"/>
      <c r="Z657" s="1047"/>
    </row>
    <row r="658" spans="1:26">
      <c r="A658" s="786"/>
      <c r="Z658" s="1047"/>
    </row>
    <row r="659" spans="1:26">
      <c r="A659" s="786"/>
      <c r="Z659" s="1047"/>
    </row>
    <row r="660" spans="1:26">
      <c r="A660" s="786"/>
      <c r="Z660" s="1047"/>
    </row>
    <row r="661" spans="1:26">
      <c r="A661" s="786"/>
      <c r="Z661" s="1047"/>
    </row>
    <row r="662" spans="1:26">
      <c r="A662" s="786"/>
      <c r="Z662" s="1047"/>
    </row>
    <row r="663" spans="1:26">
      <c r="A663" s="786"/>
      <c r="Z663" s="1047"/>
    </row>
    <row r="664" spans="1:26">
      <c r="A664" s="786"/>
      <c r="Z664" s="1047"/>
    </row>
    <row r="665" spans="1:26">
      <c r="A665" s="786"/>
      <c r="Z665" s="1047"/>
    </row>
    <row r="666" spans="1:26">
      <c r="Z666" s="1047"/>
    </row>
    <row r="667" spans="1:26">
      <c r="Z667" s="1047"/>
    </row>
    <row r="668" spans="1:26">
      <c r="Z668" s="1047"/>
    </row>
    <row r="669" spans="1:26">
      <c r="Z669" s="1047"/>
    </row>
    <row r="670" spans="1:26">
      <c r="Z670" s="1047"/>
    </row>
    <row r="671" spans="1:26">
      <c r="Z671" s="1047"/>
    </row>
    <row r="672" spans="1:26">
      <c r="Z672" s="1047"/>
    </row>
    <row r="673" spans="26:26">
      <c r="Z673" s="1047"/>
    </row>
    <row r="674" spans="26:26">
      <c r="Z674" s="1047"/>
    </row>
    <row r="675" spans="26:26">
      <c r="Z675" s="1047"/>
    </row>
    <row r="676" spans="26:26">
      <c r="Z676" s="1047"/>
    </row>
    <row r="677" spans="26:26">
      <c r="Z677" s="1047"/>
    </row>
    <row r="678" spans="26:26">
      <c r="Z678" s="1047"/>
    </row>
    <row r="679" spans="26:26">
      <c r="Z679" s="1047"/>
    </row>
    <row r="680" spans="26:26">
      <c r="Z680" s="1047"/>
    </row>
    <row r="681" spans="26:26">
      <c r="Z681" s="1047"/>
    </row>
    <row r="682" spans="26:26">
      <c r="Z682" s="1047"/>
    </row>
    <row r="683" spans="26:26">
      <c r="Z683" s="1047"/>
    </row>
    <row r="684" spans="26:26">
      <c r="Z684" s="1047"/>
    </row>
    <row r="685" spans="26:26">
      <c r="Z685" s="1047"/>
    </row>
    <row r="686" spans="26:26">
      <c r="Z686" s="1047"/>
    </row>
    <row r="687" spans="26:26">
      <c r="Z687" s="1047"/>
    </row>
    <row r="688" spans="26:26">
      <c r="Z688" s="1047"/>
    </row>
    <row r="689" spans="26:26">
      <c r="Z689" s="1047"/>
    </row>
    <row r="690" spans="26:26">
      <c r="Z690" s="1047"/>
    </row>
    <row r="691" spans="26:26">
      <c r="Z691" s="1047"/>
    </row>
    <row r="692" spans="26:26">
      <c r="Z692" s="1047"/>
    </row>
    <row r="693" spans="26:26">
      <c r="Z693" s="1047"/>
    </row>
    <row r="694" spans="26:26">
      <c r="Z694" s="1047"/>
    </row>
    <row r="695" spans="26:26">
      <c r="Z695" s="1047"/>
    </row>
    <row r="696" spans="26:26">
      <c r="Z696" s="1047"/>
    </row>
    <row r="697" spans="26:26">
      <c r="Z697" s="1047"/>
    </row>
    <row r="698" spans="26:26">
      <c r="Z698" s="1047"/>
    </row>
    <row r="699" spans="26:26">
      <c r="Z699" s="1047"/>
    </row>
    <row r="700" spans="26:26">
      <c r="Z700" s="1047"/>
    </row>
    <row r="701" spans="26:26">
      <c r="Z701" s="1047"/>
    </row>
    <row r="702" spans="26:26">
      <c r="Z702" s="1047"/>
    </row>
    <row r="703" spans="26:26">
      <c r="Z703" s="1047"/>
    </row>
    <row r="704" spans="26:26">
      <c r="Z704" s="1047"/>
    </row>
    <row r="705" spans="26:26">
      <c r="Z705" s="1047"/>
    </row>
    <row r="706" spans="26:26">
      <c r="Z706" s="1047"/>
    </row>
    <row r="707" spans="26:26">
      <c r="Z707" s="1047"/>
    </row>
    <row r="708" spans="26:26">
      <c r="Z708" s="1047"/>
    </row>
    <row r="709" spans="26:26">
      <c r="Z709" s="1047"/>
    </row>
    <row r="710" spans="26:26">
      <c r="Z710" s="1047"/>
    </row>
    <row r="711" spans="26:26">
      <c r="Z711" s="1047"/>
    </row>
    <row r="712" spans="26:26">
      <c r="Z712" s="1047"/>
    </row>
    <row r="713" spans="26:26">
      <c r="Z713" s="1047"/>
    </row>
    <row r="714" spans="26:26">
      <c r="Z714" s="1047"/>
    </row>
    <row r="715" spans="26:26">
      <c r="Z715" s="1047"/>
    </row>
    <row r="716" spans="26:26">
      <c r="Z716" s="1047"/>
    </row>
    <row r="717" spans="26:26">
      <c r="Z717" s="1047"/>
    </row>
    <row r="718" spans="26:26">
      <c r="Z718" s="1047"/>
    </row>
    <row r="719" spans="26:26">
      <c r="Z719" s="1047"/>
    </row>
    <row r="720" spans="26:26">
      <c r="Z720" s="1047"/>
    </row>
    <row r="721" spans="26:26">
      <c r="Z721" s="1047"/>
    </row>
    <row r="722" spans="26:26">
      <c r="Z722" s="1047"/>
    </row>
    <row r="723" spans="26:26">
      <c r="Z723" s="1047"/>
    </row>
    <row r="724" spans="26:26">
      <c r="Z724" s="1047"/>
    </row>
    <row r="725" spans="26:26">
      <c r="Z725" s="1047"/>
    </row>
    <row r="726" spans="26:26">
      <c r="Z726" s="1047"/>
    </row>
    <row r="727" spans="26:26">
      <c r="Z727" s="1047"/>
    </row>
    <row r="728" spans="26:26">
      <c r="Z728" s="1047"/>
    </row>
    <row r="729" spans="26:26">
      <c r="Z729" s="1047"/>
    </row>
    <row r="730" spans="26:26">
      <c r="Z730" s="1047"/>
    </row>
    <row r="731" spans="26:26">
      <c r="Z731" s="1047"/>
    </row>
    <row r="732" spans="26:26">
      <c r="Z732" s="1047"/>
    </row>
    <row r="733" spans="26:26">
      <c r="Z733" s="1047"/>
    </row>
    <row r="734" spans="26:26">
      <c r="Z734" s="1047"/>
    </row>
    <row r="735" spans="26:26">
      <c r="Z735" s="1047"/>
    </row>
    <row r="736" spans="26:26">
      <c r="Z736" s="1047"/>
    </row>
    <row r="737" spans="26:26">
      <c r="Z737" s="1047"/>
    </row>
    <row r="738" spans="26:26">
      <c r="Z738" s="1047"/>
    </row>
    <row r="739" spans="26:26">
      <c r="Z739" s="1047"/>
    </row>
    <row r="740" spans="26:26">
      <c r="Z740" s="1047"/>
    </row>
    <row r="741" spans="26:26">
      <c r="Z741" s="1047"/>
    </row>
    <row r="742" spans="26:26">
      <c r="Z742" s="1047"/>
    </row>
    <row r="743" spans="26:26">
      <c r="Z743" s="1047"/>
    </row>
    <row r="744" spans="26:26">
      <c r="Z744" s="1047"/>
    </row>
    <row r="745" spans="26:26">
      <c r="Z745" s="1047"/>
    </row>
    <row r="746" spans="26:26">
      <c r="Z746" s="1047"/>
    </row>
    <row r="747" spans="26:26">
      <c r="Z747" s="1047"/>
    </row>
    <row r="748" spans="26:26">
      <c r="Z748" s="1047"/>
    </row>
    <row r="749" spans="26:26">
      <c r="Z749" s="1047"/>
    </row>
    <row r="750" spans="26:26">
      <c r="Z750" s="1047"/>
    </row>
    <row r="751" spans="26:26">
      <c r="Z751" s="1047"/>
    </row>
    <row r="752" spans="26:26">
      <c r="Z752" s="1047"/>
    </row>
    <row r="753" spans="26:26">
      <c r="Z753" s="1047"/>
    </row>
    <row r="754" spans="26:26">
      <c r="Z754" s="1047"/>
    </row>
    <row r="755" spans="26:26">
      <c r="Z755" s="1047"/>
    </row>
    <row r="756" spans="26:26">
      <c r="Z756" s="1047"/>
    </row>
    <row r="757" spans="26:26">
      <c r="Z757" s="1047"/>
    </row>
    <row r="758" spans="26:26">
      <c r="Z758" s="1047"/>
    </row>
    <row r="759" spans="26:26">
      <c r="Z759" s="1047"/>
    </row>
    <row r="760" spans="26:26">
      <c r="Z760" s="1047"/>
    </row>
    <row r="761" spans="26:26">
      <c r="Z761" s="1047"/>
    </row>
    <row r="762" spans="26:26">
      <c r="Z762" s="1047"/>
    </row>
    <row r="763" spans="26:26">
      <c r="Z763" s="1047"/>
    </row>
    <row r="764" spans="26:26">
      <c r="Z764" s="1047"/>
    </row>
    <row r="765" spans="26:26">
      <c r="Z765" s="1047"/>
    </row>
    <row r="766" spans="26:26">
      <c r="Z766" s="1047"/>
    </row>
    <row r="767" spans="26:26">
      <c r="Z767" s="1047"/>
    </row>
    <row r="768" spans="26:26">
      <c r="Z768" s="1047"/>
    </row>
    <row r="769" spans="26:26">
      <c r="Z769" s="1047"/>
    </row>
    <row r="770" spans="26:26">
      <c r="Z770" s="1047"/>
    </row>
    <row r="771" spans="26:26">
      <c r="Z771" s="1047"/>
    </row>
    <row r="772" spans="26:26">
      <c r="Z772" s="1047"/>
    </row>
    <row r="773" spans="26:26">
      <c r="Z773" s="1047"/>
    </row>
    <row r="774" spans="26:26">
      <c r="Z774" s="1047"/>
    </row>
    <row r="775" spans="26:26">
      <c r="Z775" s="1047"/>
    </row>
    <row r="776" spans="26:26">
      <c r="Z776" s="1047"/>
    </row>
    <row r="777" spans="26:26">
      <c r="Z777" s="1047"/>
    </row>
    <row r="778" spans="26:26">
      <c r="Z778" s="1047"/>
    </row>
    <row r="779" spans="26:26">
      <c r="Z779" s="1047"/>
    </row>
    <row r="780" spans="26:26">
      <c r="Z780" s="1047"/>
    </row>
    <row r="781" spans="26:26">
      <c r="Z781" s="1047"/>
    </row>
    <row r="782" spans="26:26">
      <c r="Z782" s="1047"/>
    </row>
    <row r="783" spans="26:26">
      <c r="Z783" s="1047"/>
    </row>
    <row r="784" spans="26:26">
      <c r="Z784" s="1047"/>
    </row>
    <row r="785" spans="26:26">
      <c r="Z785" s="1047"/>
    </row>
    <row r="786" spans="26:26">
      <c r="Z786" s="1047"/>
    </row>
    <row r="787" spans="26:26">
      <c r="Z787" s="1047"/>
    </row>
    <row r="788" spans="26:26">
      <c r="Z788" s="1047"/>
    </row>
    <row r="789" spans="26:26">
      <c r="Z789" s="1047"/>
    </row>
    <row r="790" spans="26:26">
      <c r="Z790" s="1047"/>
    </row>
    <row r="791" spans="26:26">
      <c r="Z791" s="1047"/>
    </row>
    <row r="792" spans="26:26">
      <c r="Z792" s="1047"/>
    </row>
    <row r="793" spans="26:26">
      <c r="Z793" s="1047"/>
    </row>
    <row r="794" spans="26:26">
      <c r="Z794" s="1047"/>
    </row>
    <row r="795" spans="26:26">
      <c r="Z795" s="1047"/>
    </row>
    <row r="796" spans="26:26">
      <c r="Z796" s="1047"/>
    </row>
    <row r="797" spans="26:26">
      <c r="Z797" s="1047"/>
    </row>
    <row r="798" spans="26:26">
      <c r="Z798" s="1047"/>
    </row>
    <row r="799" spans="26:26">
      <c r="Z799" s="1047"/>
    </row>
    <row r="800" spans="26:26">
      <c r="Z800" s="1047"/>
    </row>
    <row r="801" spans="26:26">
      <c r="Z801" s="1047"/>
    </row>
    <row r="802" spans="26:26">
      <c r="Z802" s="1047"/>
    </row>
    <row r="803" spans="26:26">
      <c r="Z803" s="1047"/>
    </row>
    <row r="804" spans="26:26">
      <c r="Z804" s="1047"/>
    </row>
    <row r="805" spans="26:26">
      <c r="Z805" s="1047"/>
    </row>
    <row r="806" spans="26:26">
      <c r="Z806" s="1047"/>
    </row>
    <row r="807" spans="26:26">
      <c r="Z807" s="1047"/>
    </row>
    <row r="808" spans="26:26">
      <c r="Z808" s="1047"/>
    </row>
    <row r="809" spans="26:26">
      <c r="Z809" s="1047"/>
    </row>
    <row r="810" spans="26:26">
      <c r="Z810" s="1047"/>
    </row>
    <row r="811" spans="26:26">
      <c r="Z811" s="1047"/>
    </row>
    <row r="812" spans="26:26">
      <c r="Z812" s="1047"/>
    </row>
    <row r="813" spans="26:26">
      <c r="Z813" s="1047"/>
    </row>
    <row r="814" spans="26:26">
      <c r="Z814" s="1047"/>
    </row>
    <row r="815" spans="26:26">
      <c r="Z815" s="1047"/>
    </row>
    <row r="816" spans="26:26">
      <c r="Z816" s="1047"/>
    </row>
    <row r="817" spans="26:26">
      <c r="Z817" s="1047"/>
    </row>
    <row r="818" spans="26:26">
      <c r="Z818" s="1047"/>
    </row>
    <row r="819" spans="26:26">
      <c r="Z819" s="1047"/>
    </row>
    <row r="820" spans="26:26">
      <c r="Z820" s="1047"/>
    </row>
    <row r="821" spans="26:26">
      <c r="Z821" s="1047"/>
    </row>
    <row r="822" spans="26:26">
      <c r="Z822" s="1047"/>
    </row>
    <row r="823" spans="26:26">
      <c r="Z823" s="1047"/>
    </row>
    <row r="824" spans="26:26">
      <c r="Z824" s="1047"/>
    </row>
    <row r="825" spans="26:26">
      <c r="Z825" s="1047"/>
    </row>
    <row r="826" spans="26:26">
      <c r="Z826" s="1047"/>
    </row>
    <row r="827" spans="26:26">
      <c r="Z827" s="1047"/>
    </row>
    <row r="828" spans="26:26">
      <c r="Z828" s="1047"/>
    </row>
    <row r="829" spans="26:26">
      <c r="Z829" s="1047"/>
    </row>
    <row r="830" spans="26:26">
      <c r="Z830" s="1047"/>
    </row>
    <row r="831" spans="26:26">
      <c r="Z831" s="1047"/>
    </row>
    <row r="832" spans="26:26">
      <c r="Z832" s="1047"/>
    </row>
    <row r="833" spans="26:26">
      <c r="Z833" s="1047"/>
    </row>
    <row r="834" spans="26:26">
      <c r="Z834" s="1047"/>
    </row>
    <row r="835" spans="26:26">
      <c r="Z835" s="1047"/>
    </row>
    <row r="836" spans="26:26">
      <c r="Z836" s="1047"/>
    </row>
    <row r="837" spans="26:26">
      <c r="Z837" s="1047"/>
    </row>
    <row r="838" spans="26:26">
      <c r="Z838" s="1047"/>
    </row>
    <row r="839" spans="26:26">
      <c r="Z839" s="1047"/>
    </row>
    <row r="840" spans="26:26">
      <c r="Z840" s="1047"/>
    </row>
    <row r="841" spans="26:26">
      <c r="Z841" s="1047"/>
    </row>
    <row r="842" spans="26:26">
      <c r="Z842" s="1047"/>
    </row>
    <row r="843" spans="26:26">
      <c r="Z843" s="1047"/>
    </row>
    <row r="844" spans="26:26">
      <c r="Z844" s="1047"/>
    </row>
    <row r="845" spans="26:26">
      <c r="Z845" s="1047"/>
    </row>
    <row r="846" spans="26:26">
      <c r="Z846" s="1047"/>
    </row>
    <row r="847" spans="26:26">
      <c r="Z847" s="1047"/>
    </row>
    <row r="848" spans="26:26">
      <c r="Z848" s="1047"/>
    </row>
    <row r="849" spans="26:26">
      <c r="Z849" s="1047"/>
    </row>
    <row r="850" spans="26:26">
      <c r="Z850" s="1047"/>
    </row>
    <row r="851" spans="26:26">
      <c r="Z851" s="1047"/>
    </row>
    <row r="852" spans="26:26">
      <c r="Z852" s="1047"/>
    </row>
    <row r="853" spans="26:26">
      <c r="Z853" s="1047"/>
    </row>
    <row r="854" spans="26:26">
      <c r="Z854" s="1047"/>
    </row>
    <row r="855" spans="26:26">
      <c r="Z855" s="1047"/>
    </row>
    <row r="856" spans="26:26">
      <c r="Z856" s="1047"/>
    </row>
    <row r="857" spans="26:26">
      <c r="Z857" s="1047"/>
    </row>
    <row r="858" spans="26:26">
      <c r="Z858" s="1047"/>
    </row>
    <row r="859" spans="26:26">
      <c r="Z859" s="1047"/>
    </row>
    <row r="860" spans="26:26">
      <c r="Z860" s="1047"/>
    </row>
    <row r="861" spans="26:26">
      <c r="Z861" s="1047"/>
    </row>
    <row r="862" spans="26:26">
      <c r="Z862" s="1047"/>
    </row>
    <row r="863" spans="26:26">
      <c r="Z863" s="1047"/>
    </row>
    <row r="864" spans="26:26">
      <c r="Z864" s="1047"/>
    </row>
    <row r="865" spans="26:26">
      <c r="Z865" s="1047"/>
    </row>
    <row r="866" spans="26:26">
      <c r="Z866" s="1047"/>
    </row>
    <row r="867" spans="26:26">
      <c r="Z867" s="1047"/>
    </row>
    <row r="868" spans="26:26">
      <c r="Z868" s="1047"/>
    </row>
    <row r="869" spans="26:26">
      <c r="Z869" s="1047"/>
    </row>
    <row r="870" spans="26:26">
      <c r="Z870" s="1047"/>
    </row>
    <row r="871" spans="26:26">
      <c r="Z871" s="1047"/>
    </row>
    <row r="872" spans="26:26">
      <c r="Z872" s="1047"/>
    </row>
    <row r="873" spans="26:26">
      <c r="Z873" s="1047"/>
    </row>
    <row r="874" spans="26:26">
      <c r="Z874" s="1047"/>
    </row>
    <row r="875" spans="26:26">
      <c r="Z875" s="1047"/>
    </row>
    <row r="876" spans="26:26">
      <c r="Z876" s="1047"/>
    </row>
    <row r="877" spans="26:26">
      <c r="Z877" s="1047"/>
    </row>
    <row r="878" spans="26:26">
      <c r="Z878" s="1047"/>
    </row>
    <row r="879" spans="26:26">
      <c r="Z879" s="1047"/>
    </row>
    <row r="880" spans="26:26">
      <c r="Z880" s="1047"/>
    </row>
    <row r="881" spans="26:26">
      <c r="Z881" s="1047"/>
    </row>
    <row r="882" spans="26:26">
      <c r="Z882" s="1047"/>
    </row>
    <row r="883" spans="26:26">
      <c r="Z883" s="1047"/>
    </row>
    <row r="884" spans="26:26">
      <c r="Z884" s="1047"/>
    </row>
    <row r="885" spans="26:26">
      <c r="Z885" s="1047"/>
    </row>
    <row r="886" spans="26:26">
      <c r="Z886" s="1047"/>
    </row>
    <row r="887" spans="26:26">
      <c r="Z887" s="1047"/>
    </row>
    <row r="888" spans="26:26">
      <c r="Z888" s="1047"/>
    </row>
    <row r="889" spans="26:26">
      <c r="Z889" s="1047"/>
    </row>
    <row r="890" spans="26:26">
      <c r="Z890" s="1047"/>
    </row>
    <row r="891" spans="26:26">
      <c r="Z891" s="1047"/>
    </row>
    <row r="892" spans="26:26">
      <c r="Z892" s="1047"/>
    </row>
    <row r="893" spans="26:26">
      <c r="Z893" s="1047"/>
    </row>
    <row r="894" spans="26:26">
      <c r="Z894" s="1047"/>
    </row>
    <row r="895" spans="26:26">
      <c r="Z895" s="1047"/>
    </row>
    <row r="896" spans="26:26">
      <c r="Z896" s="1047"/>
    </row>
    <row r="897" spans="26:26">
      <c r="Z897" s="1047"/>
    </row>
    <row r="898" spans="26:26">
      <c r="Z898" s="1047"/>
    </row>
    <row r="899" spans="26:26">
      <c r="Z899" s="1047"/>
    </row>
    <row r="900" spans="26:26">
      <c r="Z900" s="1047"/>
    </row>
    <row r="901" spans="26:26">
      <c r="Z901" s="1047"/>
    </row>
    <row r="902" spans="26:26">
      <c r="Z902" s="1047"/>
    </row>
    <row r="903" spans="26:26">
      <c r="Z903" s="1047"/>
    </row>
    <row r="904" spans="26:26">
      <c r="Z904" s="1047"/>
    </row>
    <row r="905" spans="26:26">
      <c r="Z905" s="1047"/>
    </row>
    <row r="906" spans="26:26">
      <c r="Z906" s="1047"/>
    </row>
    <row r="907" spans="26:26">
      <c r="Z907" s="1047"/>
    </row>
    <row r="908" spans="26:26">
      <c r="Z908" s="1047"/>
    </row>
    <row r="909" spans="26:26">
      <c r="Z909" s="1047"/>
    </row>
    <row r="910" spans="26:26">
      <c r="Z910" s="1047"/>
    </row>
    <row r="911" spans="26:26">
      <c r="Z911" s="1047"/>
    </row>
    <row r="912" spans="26:26">
      <c r="Z912" s="1047"/>
    </row>
    <row r="913" spans="26:26">
      <c r="Z913" s="1047"/>
    </row>
    <row r="914" spans="26:26">
      <c r="Z914" s="1047"/>
    </row>
    <row r="915" spans="26:26">
      <c r="Z915" s="1047"/>
    </row>
    <row r="916" spans="26:26">
      <c r="Z916" s="1047"/>
    </row>
    <row r="917" spans="26:26">
      <c r="Z917" s="1047"/>
    </row>
    <row r="918" spans="26:26">
      <c r="Z918" s="1047"/>
    </row>
    <row r="919" spans="26:26">
      <c r="Z919" s="1047"/>
    </row>
    <row r="920" spans="26:26">
      <c r="Z920" s="1047"/>
    </row>
    <row r="921" spans="26:26">
      <c r="Z921" s="1047"/>
    </row>
    <row r="922" spans="26:26">
      <c r="Z922" s="1047"/>
    </row>
    <row r="923" spans="26:26">
      <c r="Z923" s="1047"/>
    </row>
    <row r="924" spans="26:26">
      <c r="Z924" s="1047"/>
    </row>
    <row r="925" spans="26:26">
      <c r="Z925" s="1047"/>
    </row>
    <row r="926" spans="26:26">
      <c r="Z926" s="1047"/>
    </row>
    <row r="927" spans="26:26">
      <c r="Z927" s="1047"/>
    </row>
    <row r="928" spans="26:26">
      <c r="Z928" s="1047"/>
    </row>
    <row r="929" spans="26:26">
      <c r="Z929" s="1047"/>
    </row>
    <row r="930" spans="26:26">
      <c r="Z930" s="1047"/>
    </row>
    <row r="931" spans="26:26">
      <c r="Z931" s="1047"/>
    </row>
    <row r="932" spans="26:26">
      <c r="Z932" s="1047"/>
    </row>
    <row r="933" spans="26:26">
      <c r="Z933" s="1047"/>
    </row>
    <row r="934" spans="26:26">
      <c r="Z934" s="1047"/>
    </row>
    <row r="935" spans="26:26">
      <c r="Z935" s="1047"/>
    </row>
    <row r="936" spans="26:26">
      <c r="Z936" s="1047"/>
    </row>
    <row r="937" spans="26:26">
      <c r="Z937" s="1047"/>
    </row>
    <row r="938" spans="26:26">
      <c r="Z938" s="1047"/>
    </row>
    <row r="939" spans="26:26">
      <c r="Z939" s="1047"/>
    </row>
    <row r="940" spans="26:26">
      <c r="Z940" s="1047"/>
    </row>
    <row r="941" spans="26:26">
      <c r="Z941" s="1047"/>
    </row>
    <row r="942" spans="26:26">
      <c r="Z942" s="1047"/>
    </row>
    <row r="943" spans="26:26">
      <c r="Z943" s="1047"/>
    </row>
    <row r="944" spans="26:26">
      <c r="Z944" s="1047"/>
    </row>
    <row r="945" spans="26:26">
      <c r="Z945" s="1047"/>
    </row>
    <row r="946" spans="26:26">
      <c r="Z946" s="1047"/>
    </row>
    <row r="947" spans="26:26">
      <c r="Z947" s="1047"/>
    </row>
    <row r="948" spans="26:26">
      <c r="Z948" s="1047"/>
    </row>
    <row r="949" spans="26:26">
      <c r="Z949" s="1047"/>
    </row>
    <row r="950" spans="26:26">
      <c r="Z950" s="1047"/>
    </row>
    <row r="951" spans="26:26">
      <c r="Z951" s="1047"/>
    </row>
    <row r="952" spans="26:26">
      <c r="Z952" s="1047"/>
    </row>
    <row r="953" spans="26:26">
      <c r="Z953" s="1047"/>
    </row>
    <row r="954" spans="26:26">
      <c r="Z954" s="1047"/>
    </row>
    <row r="955" spans="26:26">
      <c r="Z955" s="1047"/>
    </row>
    <row r="956" spans="26:26">
      <c r="Z956" s="1047"/>
    </row>
    <row r="957" spans="26:26">
      <c r="Z957" s="1047"/>
    </row>
    <row r="958" spans="26:26">
      <c r="Z958" s="1047"/>
    </row>
    <row r="959" spans="26:26">
      <c r="Z959" s="1047"/>
    </row>
    <row r="960" spans="26:26">
      <c r="Z960" s="1047"/>
    </row>
    <row r="961" spans="26:26">
      <c r="Z961" s="1047"/>
    </row>
    <row r="962" spans="26:26">
      <c r="Z962" s="1047"/>
    </row>
    <row r="963" spans="26:26">
      <c r="Z963" s="1047"/>
    </row>
    <row r="964" spans="26:26">
      <c r="Z964" s="1047"/>
    </row>
    <row r="965" spans="26:26">
      <c r="Z965" s="1047"/>
    </row>
    <row r="966" spans="26:26">
      <c r="Z966" s="1047"/>
    </row>
    <row r="967" spans="26:26">
      <c r="Z967" s="1047"/>
    </row>
    <row r="968" spans="26:26">
      <c r="Z968" s="1047"/>
    </row>
    <row r="969" spans="26:26">
      <c r="Z969" s="1047"/>
    </row>
    <row r="970" spans="26:26">
      <c r="Z970" s="1047"/>
    </row>
    <row r="971" spans="26:26">
      <c r="Z971" s="1047"/>
    </row>
    <row r="972" spans="26:26">
      <c r="Z972" s="1047"/>
    </row>
    <row r="973" spans="26:26">
      <c r="Z973" s="1047"/>
    </row>
    <row r="974" spans="26:26">
      <c r="Z974" s="1047"/>
    </row>
    <row r="975" spans="26:26">
      <c r="Z975" s="1047"/>
    </row>
    <row r="976" spans="26:26">
      <c r="Z976" s="1047"/>
    </row>
    <row r="977" spans="26:26">
      <c r="Z977" s="1047"/>
    </row>
    <row r="978" spans="26:26">
      <c r="Z978" s="1047"/>
    </row>
    <row r="979" spans="26:26">
      <c r="Z979" s="1047"/>
    </row>
    <row r="980" spans="26:26">
      <c r="Z980" s="1047"/>
    </row>
    <row r="981" spans="26:26">
      <c r="Z981" s="1047"/>
    </row>
    <row r="982" spans="26:26">
      <c r="Z982" s="1047"/>
    </row>
    <row r="983" spans="26:26">
      <c r="Z983" s="1047"/>
    </row>
    <row r="984" spans="26:26">
      <c r="Z984" s="1047"/>
    </row>
    <row r="985" spans="26:26">
      <c r="Z985" s="1047"/>
    </row>
    <row r="986" spans="26:26">
      <c r="Z986" s="1047"/>
    </row>
    <row r="987" spans="26:26">
      <c r="Z987" s="1047"/>
    </row>
    <row r="988" spans="26:26">
      <c r="Z988" s="1047"/>
    </row>
    <row r="989" spans="26:26">
      <c r="Z989" s="1047"/>
    </row>
    <row r="990" spans="26:26">
      <c r="Z990" s="1047"/>
    </row>
    <row r="991" spans="26:26">
      <c r="Z991" s="1047"/>
    </row>
    <row r="992" spans="26:26">
      <c r="Z992" s="1047"/>
    </row>
    <row r="993" spans="26:26">
      <c r="Z993" s="1047"/>
    </row>
    <row r="994" spans="26:26">
      <c r="Z994" s="1047"/>
    </row>
    <row r="995" spans="26:26">
      <c r="Z995" s="1047"/>
    </row>
    <row r="996" spans="26:26">
      <c r="Z996" s="1047"/>
    </row>
    <row r="997" spans="26:26">
      <c r="Z997" s="1047"/>
    </row>
    <row r="998" spans="26:26">
      <c r="Z998" s="1047"/>
    </row>
    <row r="999" spans="26:26">
      <c r="Z999" s="1047"/>
    </row>
    <row r="1000" spans="26:26">
      <c r="Z1000" s="1047"/>
    </row>
    <row r="1001" spans="26:26">
      <c r="Z1001" s="1047"/>
    </row>
    <row r="1002" spans="26:26">
      <c r="Z1002" s="1047"/>
    </row>
    <row r="1003" spans="26:26">
      <c r="Z1003" s="1047"/>
    </row>
    <row r="1004" spans="26:26">
      <c r="Z1004" s="1047"/>
    </row>
    <row r="1005" spans="26:26">
      <c r="Z1005" s="1047"/>
    </row>
    <row r="1006" spans="26:26">
      <c r="Z1006" s="1047"/>
    </row>
    <row r="1007" spans="26:26">
      <c r="Z1007" s="1047"/>
    </row>
    <row r="1008" spans="26:26">
      <c r="Z1008" s="1047"/>
    </row>
    <row r="1009" spans="26:26">
      <c r="Z1009" s="1047"/>
    </row>
    <row r="1010" spans="26:26">
      <c r="Z1010" s="1047"/>
    </row>
    <row r="1011" spans="26:26">
      <c r="Z1011" s="1047"/>
    </row>
    <row r="1012" spans="26:26">
      <c r="Z1012" s="1047"/>
    </row>
    <row r="1013" spans="26:26">
      <c r="Z1013" s="1047"/>
    </row>
    <row r="1014" spans="26:26">
      <c r="Z1014" s="1047"/>
    </row>
    <row r="1015" spans="26:26">
      <c r="Z1015" s="1047"/>
    </row>
    <row r="1016" spans="26:26">
      <c r="Z1016" s="1047"/>
    </row>
    <row r="1017" spans="26:26">
      <c r="Z1017" s="1047"/>
    </row>
    <row r="1018" spans="26:26">
      <c r="Z1018" s="1047"/>
    </row>
    <row r="1019" spans="26:26">
      <c r="Z1019" s="1047"/>
    </row>
    <row r="1020" spans="26:26">
      <c r="Z1020" s="1047"/>
    </row>
    <row r="1021" spans="26:26">
      <c r="Z1021" s="1047"/>
    </row>
    <row r="1022" spans="26:26">
      <c r="Z1022" s="1047"/>
    </row>
    <row r="1023" spans="26:26">
      <c r="Z1023" s="1047"/>
    </row>
    <row r="1024" spans="26:26">
      <c r="Z1024" s="1047"/>
    </row>
    <row r="1025" spans="26:26">
      <c r="Z1025" s="1047"/>
    </row>
    <row r="1026" spans="26:26">
      <c r="Z1026" s="1047"/>
    </row>
    <row r="1027" spans="26:26">
      <c r="Z1027" s="1047"/>
    </row>
    <row r="1028" spans="26:26">
      <c r="Z1028" s="1047"/>
    </row>
    <row r="1029" spans="26:26">
      <c r="Z1029" s="1047"/>
    </row>
    <row r="1030" spans="26:26">
      <c r="Z1030" s="1047"/>
    </row>
    <row r="1031" spans="26:26">
      <c r="Z1031" s="1047"/>
    </row>
    <row r="1032" spans="26:26">
      <c r="Z1032" s="1047"/>
    </row>
    <row r="1033" spans="26:26">
      <c r="Z1033" s="1047"/>
    </row>
    <row r="1034" spans="26:26">
      <c r="Z1034" s="1047"/>
    </row>
    <row r="1035" spans="26:26">
      <c r="Z1035" s="1047"/>
    </row>
    <row r="1036" spans="26:26">
      <c r="Z1036" s="1047"/>
    </row>
    <row r="1037" spans="26:26">
      <c r="Z1037" s="1047"/>
    </row>
    <row r="1038" spans="26:26">
      <c r="Z1038" s="1047"/>
    </row>
    <row r="1039" spans="26:26">
      <c r="Z1039" s="1047"/>
    </row>
    <row r="1040" spans="26:26">
      <c r="Z1040" s="1047"/>
    </row>
    <row r="1041" spans="26:26">
      <c r="Z1041" s="1047"/>
    </row>
    <row r="1042" spans="26:26">
      <c r="Z1042" s="1047"/>
    </row>
    <row r="1043" spans="26:26">
      <c r="Z1043" s="1047"/>
    </row>
    <row r="1044" spans="26:26">
      <c r="Z1044" s="1047"/>
    </row>
    <row r="1045" spans="26:26">
      <c r="Z1045" s="1047"/>
    </row>
    <row r="1046" spans="26:26">
      <c r="Z1046" s="1047"/>
    </row>
    <row r="1047" spans="26:26">
      <c r="Z1047" s="1047"/>
    </row>
    <row r="1048" spans="26:26">
      <c r="Z1048" s="1047"/>
    </row>
    <row r="1049" spans="26:26">
      <c r="Z1049" s="1047"/>
    </row>
    <row r="1050" spans="26:26">
      <c r="Z1050" s="1047"/>
    </row>
    <row r="1051" spans="26:26">
      <c r="Z1051" s="1047"/>
    </row>
    <row r="1052" spans="26:26">
      <c r="Z1052" s="1047"/>
    </row>
    <row r="1053" spans="26:26">
      <c r="Z1053" s="1047"/>
    </row>
    <row r="1054" spans="26:26">
      <c r="Z1054" s="1047"/>
    </row>
    <row r="1055" spans="26:26">
      <c r="Z1055" s="1047"/>
    </row>
    <row r="1056" spans="26:26">
      <c r="Z1056" s="1047"/>
    </row>
    <row r="1057" spans="26:26">
      <c r="Z1057" s="1047"/>
    </row>
    <row r="1058" spans="26:26">
      <c r="Z1058" s="1047"/>
    </row>
    <row r="1059" spans="26:26">
      <c r="Z1059" s="1047"/>
    </row>
    <row r="1060" spans="26:26">
      <c r="Z1060" s="1047"/>
    </row>
    <row r="1061" spans="26:26">
      <c r="Z1061" s="1047"/>
    </row>
    <row r="1062" spans="26:26">
      <c r="Z1062" s="1047"/>
    </row>
    <row r="1063" spans="26:26">
      <c r="Z1063" s="1047"/>
    </row>
    <row r="1064" spans="26:26">
      <c r="Z1064" s="1047"/>
    </row>
    <row r="1065" spans="26:26">
      <c r="Z1065" s="1047"/>
    </row>
    <row r="1066" spans="26:26">
      <c r="Z1066" s="1047"/>
    </row>
    <row r="1067" spans="26:26">
      <c r="Z1067" s="1047"/>
    </row>
    <row r="1068" spans="26:26">
      <c r="Z1068" s="1047"/>
    </row>
    <row r="1069" spans="26:26">
      <c r="Z1069" s="1047"/>
    </row>
    <row r="1070" spans="26:26">
      <c r="Z1070" s="1047"/>
    </row>
    <row r="1071" spans="26:26">
      <c r="Z1071" s="1047"/>
    </row>
    <row r="1072" spans="26:26">
      <c r="Z1072" s="1047"/>
    </row>
    <row r="1073" spans="26:26">
      <c r="Z1073" s="1047"/>
    </row>
    <row r="1074" spans="26:26">
      <c r="Z1074" s="1047"/>
    </row>
    <row r="1075" spans="26:26">
      <c r="Z1075" s="1047"/>
    </row>
    <row r="1076" spans="26:26">
      <c r="Z1076" s="1047"/>
    </row>
    <row r="1077" spans="26:26">
      <c r="Z1077" s="1047"/>
    </row>
    <row r="1078" spans="26:26">
      <c r="Z1078" s="1047"/>
    </row>
    <row r="1079" spans="26:26">
      <c r="Z1079" s="1047"/>
    </row>
    <row r="1080" spans="26:26">
      <c r="Z1080" s="1047"/>
    </row>
    <row r="1081" spans="26:26">
      <c r="Z1081" s="1047"/>
    </row>
    <row r="1082" spans="26:26">
      <c r="Z1082" s="1047"/>
    </row>
    <row r="1083" spans="26:26">
      <c r="Z1083" s="1047"/>
    </row>
    <row r="1084" spans="26:26">
      <c r="Z1084" s="1047"/>
    </row>
    <row r="1085" spans="26:26">
      <c r="Z1085" s="1047"/>
    </row>
    <row r="1086" spans="26:26">
      <c r="Z1086" s="1047"/>
    </row>
    <row r="1087" spans="26:26">
      <c r="Z1087" s="1047"/>
    </row>
    <row r="1088" spans="26:26">
      <c r="Z1088" s="1047"/>
    </row>
    <row r="1089" spans="26:26">
      <c r="Z1089" s="1047"/>
    </row>
    <row r="1090" spans="26:26">
      <c r="Z1090" s="1047"/>
    </row>
    <row r="1091" spans="26:26">
      <c r="Z1091" s="1047"/>
    </row>
    <row r="1092" spans="26:26">
      <c r="Z1092" s="1047"/>
    </row>
    <row r="1093" spans="26:26">
      <c r="Z1093" s="1047"/>
    </row>
    <row r="1094" spans="26:26">
      <c r="Z1094" s="1047"/>
    </row>
    <row r="1095" spans="26:26">
      <c r="Z1095" s="1047"/>
    </row>
    <row r="1096" spans="26:26">
      <c r="Z1096" s="1047"/>
    </row>
    <row r="1097" spans="26:26">
      <c r="Z1097" s="1047"/>
    </row>
    <row r="1098" spans="26:26">
      <c r="Z1098" s="1047"/>
    </row>
    <row r="1099" spans="26:26">
      <c r="Z1099" s="1047"/>
    </row>
    <row r="1100" spans="26:26">
      <c r="Z1100" s="1047"/>
    </row>
    <row r="1101" spans="26:26">
      <c r="Z1101" s="1047"/>
    </row>
    <row r="1102" spans="26:26">
      <c r="Z1102" s="1047"/>
    </row>
    <row r="1103" spans="26:26">
      <c r="Z1103" s="1047"/>
    </row>
    <row r="1104" spans="26:26">
      <c r="Z1104" s="1047"/>
    </row>
    <row r="1105" spans="26:26">
      <c r="Z1105" s="1047"/>
    </row>
    <row r="1106" spans="26:26">
      <c r="Z1106" s="1047"/>
    </row>
    <row r="1107" spans="26:26">
      <c r="Z1107" s="1047"/>
    </row>
    <row r="1108" spans="26:26">
      <c r="Z1108" s="1047"/>
    </row>
    <row r="1109" spans="26:26">
      <c r="Z1109" s="1047"/>
    </row>
    <row r="1110" spans="26:26">
      <c r="Z1110" s="1047"/>
    </row>
    <row r="1111" spans="26:26">
      <c r="Z1111" s="1047"/>
    </row>
    <row r="1112" spans="26:26">
      <c r="Z1112" s="1047"/>
    </row>
    <row r="1113" spans="26:26">
      <c r="Z1113" s="1047"/>
    </row>
    <row r="1114" spans="26:26">
      <c r="Z1114" s="1047"/>
    </row>
    <row r="1115" spans="26:26">
      <c r="Z1115" s="1047"/>
    </row>
    <row r="1116" spans="26:26">
      <c r="Z1116" s="1047"/>
    </row>
    <row r="1117" spans="26:26">
      <c r="Z1117" s="1047"/>
    </row>
    <row r="1118" spans="26:26">
      <c r="Z1118" s="1047"/>
    </row>
    <row r="1119" spans="26:26">
      <c r="Z1119" s="1047"/>
    </row>
    <row r="1120" spans="26:26">
      <c r="Z1120" s="1047"/>
    </row>
    <row r="1121" spans="26:26">
      <c r="Z1121" s="1047"/>
    </row>
    <row r="1122" spans="26:26">
      <c r="Z1122" s="1047"/>
    </row>
    <row r="1123" spans="26:26">
      <c r="Z1123" s="1047"/>
    </row>
    <row r="1124" spans="26:26">
      <c r="Z1124" s="1047"/>
    </row>
    <row r="1125" spans="26:26">
      <c r="Z1125" s="1047"/>
    </row>
    <row r="1126" spans="26:26">
      <c r="Z1126" s="1047"/>
    </row>
    <row r="1127" spans="26:26">
      <c r="Z1127" s="1047"/>
    </row>
    <row r="1128" spans="26:26">
      <c r="Z1128" s="1047"/>
    </row>
    <row r="1129" spans="26:26">
      <c r="Z1129" s="1047"/>
    </row>
    <row r="1130" spans="26:26">
      <c r="Z1130" s="1047"/>
    </row>
    <row r="1131" spans="26:26">
      <c r="Z1131" s="1047"/>
    </row>
    <row r="1132" spans="26:26">
      <c r="Z1132" s="1047"/>
    </row>
    <row r="1133" spans="26:26">
      <c r="Z1133" s="1047"/>
    </row>
    <row r="1134" spans="26:26">
      <c r="Z1134" s="1047"/>
    </row>
    <row r="1135" spans="26:26">
      <c r="Z1135" s="1047"/>
    </row>
    <row r="1136" spans="26:26">
      <c r="Z1136" s="1047"/>
    </row>
    <row r="1137" spans="26:26">
      <c r="Z1137" s="1047"/>
    </row>
    <row r="1138" spans="26:26">
      <c r="Z1138" s="1047"/>
    </row>
    <row r="1139" spans="26:26">
      <c r="Z1139" s="1047"/>
    </row>
    <row r="1140" spans="26:26">
      <c r="Z1140" s="1047"/>
    </row>
    <row r="1141" spans="26:26">
      <c r="Z1141" s="1047"/>
    </row>
    <row r="1142" spans="26:26">
      <c r="Z1142" s="1047"/>
    </row>
    <row r="1143" spans="26:26">
      <c r="Z1143" s="1047"/>
    </row>
    <row r="1144" spans="26:26">
      <c r="Z1144" s="1047"/>
    </row>
    <row r="1145" spans="26:26">
      <c r="Z1145" s="1047"/>
    </row>
    <row r="1146" spans="26:26">
      <c r="Z1146" s="1047"/>
    </row>
    <row r="1147" spans="26:26">
      <c r="Z1147" s="1047"/>
    </row>
    <row r="1148" spans="26:26">
      <c r="Z1148" s="1047"/>
    </row>
    <row r="1149" spans="26:26">
      <c r="Z1149" s="1047"/>
    </row>
    <row r="1150" spans="26:26">
      <c r="Z1150" s="1047"/>
    </row>
    <row r="1151" spans="26:26">
      <c r="Z1151" s="1047"/>
    </row>
    <row r="1152" spans="26:26">
      <c r="Z1152" s="1047"/>
    </row>
    <row r="1153" spans="26:26">
      <c r="Z1153" s="1047"/>
    </row>
    <row r="1154" spans="26:26">
      <c r="Z1154" s="1047"/>
    </row>
    <row r="1155" spans="26:26">
      <c r="Z1155" s="1047"/>
    </row>
    <row r="1156" spans="26:26">
      <c r="Z1156" s="1047"/>
    </row>
    <row r="1157" spans="26:26">
      <c r="Z1157" s="1047"/>
    </row>
    <row r="1158" spans="26:26">
      <c r="Z1158" s="1047"/>
    </row>
    <row r="1159" spans="26:26">
      <c r="Z1159" s="1047"/>
    </row>
    <row r="1160" spans="26:26">
      <c r="Z1160" s="1047"/>
    </row>
    <row r="1161" spans="26:26">
      <c r="Z1161" s="1047"/>
    </row>
    <row r="1162" spans="26:26">
      <c r="Z1162" s="1047"/>
    </row>
    <row r="1163" spans="26:26">
      <c r="Z1163" s="1047"/>
    </row>
    <row r="1164" spans="26:26">
      <c r="Z1164" s="1047"/>
    </row>
    <row r="1165" spans="26:26">
      <c r="Z1165" s="1047"/>
    </row>
    <row r="1166" spans="26:26">
      <c r="Z1166" s="1047"/>
    </row>
    <row r="1167" spans="26:26">
      <c r="Z1167" s="1047"/>
    </row>
    <row r="1168" spans="26:26">
      <c r="Z1168" s="1047"/>
    </row>
    <row r="1169" spans="26:26">
      <c r="Z1169" s="1047"/>
    </row>
    <row r="1170" spans="26:26">
      <c r="Z1170" s="1047"/>
    </row>
  </sheetData>
  <mergeCells count="442">
    <mergeCell ref="L368:Q368"/>
    <mergeCell ref="C181:C184"/>
    <mergeCell ref="D181:D182"/>
    <mergeCell ref="D183:D184"/>
    <mergeCell ref="C185:C189"/>
    <mergeCell ref="D185:D186"/>
    <mergeCell ref="D187:D189"/>
    <mergeCell ref="C165:C170"/>
    <mergeCell ref="D165:D167"/>
    <mergeCell ref="D168:D170"/>
    <mergeCell ref="C171:C175"/>
    <mergeCell ref="D171:D173"/>
    <mergeCell ref="D174:D175"/>
    <mergeCell ref="L222:M222"/>
    <mergeCell ref="L223:L226"/>
    <mergeCell ref="L227:M227"/>
    <mergeCell ref="L228:Q228"/>
    <mergeCell ref="L234:M234"/>
    <mergeCell ref="L249:Q249"/>
    <mergeCell ref="L255:M255"/>
    <mergeCell ref="L237:Q237"/>
    <mergeCell ref="L239:L242"/>
    <mergeCell ref="L243:M243"/>
    <mergeCell ref="L244:L247"/>
    <mergeCell ref="L248:M248"/>
    <mergeCell ref="L195:Q195"/>
    <mergeCell ref="L197:L200"/>
    <mergeCell ref="L201:M201"/>
    <mergeCell ref="L202:L205"/>
    <mergeCell ref="L206:M206"/>
    <mergeCell ref="L207:Q207"/>
    <mergeCell ref="L213:M213"/>
    <mergeCell ref="L216:Q216"/>
    <mergeCell ref="L218:L221"/>
    <mergeCell ref="D138:D139"/>
    <mergeCell ref="E138:E139"/>
    <mergeCell ref="G138:G139"/>
    <mergeCell ref="D140:D141"/>
    <mergeCell ref="E140:E141"/>
    <mergeCell ref="G140:G141"/>
    <mergeCell ref="C148:H148"/>
    <mergeCell ref="C151:H151"/>
    <mergeCell ref="C154:H154"/>
    <mergeCell ref="C4:C6"/>
    <mergeCell ref="C7:C8"/>
    <mergeCell ref="C9:C11"/>
    <mergeCell ref="C15:I15"/>
    <mergeCell ref="C19:I19"/>
    <mergeCell ref="C613:J613"/>
    <mergeCell ref="C620:C621"/>
    <mergeCell ref="D620:D621"/>
    <mergeCell ref="P479:P480"/>
    <mergeCell ref="G494:H494"/>
    <mergeCell ref="C84:C86"/>
    <mergeCell ref="C87:C89"/>
    <mergeCell ref="C90:C92"/>
    <mergeCell ref="C93:G93"/>
    <mergeCell ref="C94:C96"/>
    <mergeCell ref="C102:C104"/>
    <mergeCell ref="C109:C111"/>
    <mergeCell ref="C112:C113"/>
    <mergeCell ref="C114:C116"/>
    <mergeCell ref="C117:C119"/>
    <mergeCell ref="C120:G120"/>
    <mergeCell ref="C125:C126"/>
    <mergeCell ref="D125:D126"/>
    <mergeCell ref="E125:E126"/>
    <mergeCell ref="C65:G65"/>
    <mergeCell ref="C66:C68"/>
    <mergeCell ref="C75:C77"/>
    <mergeCell ref="C38:C40"/>
    <mergeCell ref="C31:C33"/>
    <mergeCell ref="C34:C36"/>
    <mergeCell ref="C28:C30"/>
    <mergeCell ref="C46:C48"/>
    <mergeCell ref="C56:C58"/>
    <mergeCell ref="C59:C61"/>
    <mergeCell ref="C62:C64"/>
    <mergeCell ref="C37:H37"/>
    <mergeCell ref="J108:P108"/>
    <mergeCell ref="I216:I217"/>
    <mergeCell ref="J216:J217"/>
    <mergeCell ref="C218:C221"/>
    <mergeCell ref="C222:E222"/>
    <mergeCell ref="C223:C226"/>
    <mergeCell ref="C194:H194"/>
    <mergeCell ref="C216:C217"/>
    <mergeCell ref="D216:D217"/>
    <mergeCell ref="E216:E217"/>
    <mergeCell ref="F216:F217"/>
    <mergeCell ref="G216:G217"/>
    <mergeCell ref="H216:H217"/>
    <mergeCell ref="C196:H196"/>
    <mergeCell ref="C198:C201"/>
    <mergeCell ref="C202:C205"/>
    <mergeCell ref="C206:C209"/>
    <mergeCell ref="C210:D210"/>
    <mergeCell ref="G125:G126"/>
    <mergeCell ref="C128:C129"/>
    <mergeCell ref="E128:E129"/>
    <mergeCell ref="F128:F129"/>
    <mergeCell ref="G128:G129"/>
    <mergeCell ref="C138:C139"/>
    <mergeCell ref="F287:F289"/>
    <mergeCell ref="D274:D278"/>
    <mergeCell ref="D279:D282"/>
    <mergeCell ref="E274:E278"/>
    <mergeCell ref="C261:C262"/>
    <mergeCell ref="D261:E261"/>
    <mergeCell ref="D269:E269"/>
    <mergeCell ref="C227:E227"/>
    <mergeCell ref="C228:C231"/>
    <mergeCell ref="C232:E232"/>
    <mergeCell ref="C233:E233"/>
    <mergeCell ref="G287:G289"/>
    <mergeCell ref="K285:K286"/>
    <mergeCell ref="C274:C282"/>
    <mergeCell ref="C298:H298"/>
    <mergeCell ref="C299:H299"/>
    <mergeCell ref="K277:K278"/>
    <mergeCell ref="E279:E282"/>
    <mergeCell ref="F279:F282"/>
    <mergeCell ref="G279:G282"/>
    <mergeCell ref="D283:D286"/>
    <mergeCell ref="F283:F286"/>
    <mergeCell ref="G283:G286"/>
    <mergeCell ref="H285:H286"/>
    <mergeCell ref="I285:I286"/>
    <mergeCell ref="J285:J286"/>
    <mergeCell ref="F274:F278"/>
    <mergeCell ref="G274:G278"/>
    <mergeCell ref="H277:H278"/>
    <mergeCell ref="I277:I278"/>
    <mergeCell ref="J277:J278"/>
    <mergeCell ref="C283:C289"/>
    <mergeCell ref="E283:E286"/>
    <mergeCell ref="E287:E289"/>
    <mergeCell ref="D287:D289"/>
    <mergeCell ref="C300:H300"/>
    <mergeCell ref="C301:C321"/>
    <mergeCell ref="D301:H301"/>
    <mergeCell ref="D302:D310"/>
    <mergeCell ref="E302:E306"/>
    <mergeCell ref="F302:H302"/>
    <mergeCell ref="F303:H303"/>
    <mergeCell ref="F304:H304"/>
    <mergeCell ref="F305:G306"/>
    <mergeCell ref="E307:E310"/>
    <mergeCell ref="F307:H307"/>
    <mergeCell ref="F308:H308"/>
    <mergeCell ref="F309:H309"/>
    <mergeCell ref="F310:H310"/>
    <mergeCell ref="D311:D321"/>
    <mergeCell ref="E311:E317"/>
    <mergeCell ref="E318:E320"/>
    <mergeCell ref="F318:H318"/>
    <mergeCell ref="F319:H319"/>
    <mergeCell ref="F320:H320"/>
    <mergeCell ref="E321:H321"/>
    <mergeCell ref="F311:F314"/>
    <mergeCell ref="G311:H311"/>
    <mergeCell ref="G312:H312"/>
    <mergeCell ref="G313:G314"/>
    <mergeCell ref="F315:F317"/>
    <mergeCell ref="G315:H315"/>
    <mergeCell ref="G316:H316"/>
    <mergeCell ref="G317:H317"/>
    <mergeCell ref="C322:H322"/>
    <mergeCell ref="F358:F360"/>
    <mergeCell ref="E361:E363"/>
    <mergeCell ref="F361:G361"/>
    <mergeCell ref="F362:G362"/>
    <mergeCell ref="F363:G363"/>
    <mergeCell ref="E364:G364"/>
    <mergeCell ref="C365:G365"/>
    <mergeCell ref="D340:D342"/>
    <mergeCell ref="D328:D329"/>
    <mergeCell ref="D330:D331"/>
    <mergeCell ref="C381:G381"/>
    <mergeCell ref="C382:G382"/>
    <mergeCell ref="C369:C374"/>
    <mergeCell ref="C391:H391"/>
    <mergeCell ref="C376:C380"/>
    <mergeCell ref="C392:H392"/>
    <mergeCell ref="C393:C413"/>
    <mergeCell ref="D393:H393"/>
    <mergeCell ref="D394:D402"/>
    <mergeCell ref="E394:E398"/>
    <mergeCell ref="F394:H394"/>
    <mergeCell ref="F395:H395"/>
    <mergeCell ref="F396:H396"/>
    <mergeCell ref="F397:G398"/>
    <mergeCell ref="E399:E402"/>
    <mergeCell ref="F399:H399"/>
    <mergeCell ref="F400:H400"/>
    <mergeCell ref="F401:H401"/>
    <mergeCell ref="F402:H402"/>
    <mergeCell ref="D403:D413"/>
    <mergeCell ref="E403:E409"/>
    <mergeCell ref="C419:H421"/>
    <mergeCell ref="I419:I420"/>
    <mergeCell ref="J419:L419"/>
    <mergeCell ref="M419:O419"/>
    <mergeCell ref="P419:P420"/>
    <mergeCell ref="J388:L388"/>
    <mergeCell ref="M388:O388"/>
    <mergeCell ref="I388:I389"/>
    <mergeCell ref="P388:P389"/>
    <mergeCell ref="C388:H390"/>
    <mergeCell ref="C414:H414"/>
    <mergeCell ref="E410:E412"/>
    <mergeCell ref="F410:H410"/>
    <mergeCell ref="F411:H411"/>
    <mergeCell ref="F412:H412"/>
    <mergeCell ref="E413:H413"/>
    <mergeCell ref="F403:F406"/>
    <mergeCell ref="G403:H403"/>
    <mergeCell ref="G404:H404"/>
    <mergeCell ref="G405:G406"/>
    <mergeCell ref="F407:F409"/>
    <mergeCell ref="G407:H407"/>
    <mergeCell ref="G408:H408"/>
    <mergeCell ref="G409:H409"/>
    <mergeCell ref="C422:H422"/>
    <mergeCell ref="C423:H423"/>
    <mergeCell ref="C424:C444"/>
    <mergeCell ref="D424:H424"/>
    <mergeCell ref="D425:D433"/>
    <mergeCell ref="E425:E429"/>
    <mergeCell ref="F425:H425"/>
    <mergeCell ref="F426:H426"/>
    <mergeCell ref="F427:H427"/>
    <mergeCell ref="F428:G429"/>
    <mergeCell ref="E430:E433"/>
    <mergeCell ref="F430:H430"/>
    <mergeCell ref="F431:H431"/>
    <mergeCell ref="F432:H432"/>
    <mergeCell ref="F433:H433"/>
    <mergeCell ref="D434:D444"/>
    <mergeCell ref="E434:E440"/>
    <mergeCell ref="F434:F437"/>
    <mergeCell ref="G434:H434"/>
    <mergeCell ref="G435:H435"/>
    <mergeCell ref="G436:G437"/>
    <mergeCell ref="F438:F440"/>
    <mergeCell ref="G438:H438"/>
    <mergeCell ref="G439:H439"/>
    <mergeCell ref="G440:H440"/>
    <mergeCell ref="C445:H445"/>
    <mergeCell ref="C450:H452"/>
    <mergeCell ref="I450:I451"/>
    <mergeCell ref="J450:L450"/>
    <mergeCell ref="M450:O450"/>
    <mergeCell ref="E441:E443"/>
    <mergeCell ref="F441:H441"/>
    <mergeCell ref="F442:H442"/>
    <mergeCell ref="F443:H443"/>
    <mergeCell ref="E444:H444"/>
    <mergeCell ref="P450:P451"/>
    <mergeCell ref="C453:H453"/>
    <mergeCell ref="C454:H454"/>
    <mergeCell ref="C455:C475"/>
    <mergeCell ref="D455:H455"/>
    <mergeCell ref="D456:D464"/>
    <mergeCell ref="E456:E460"/>
    <mergeCell ref="F456:H456"/>
    <mergeCell ref="F457:H457"/>
    <mergeCell ref="F458:H458"/>
    <mergeCell ref="F459:G460"/>
    <mergeCell ref="E461:E464"/>
    <mergeCell ref="F461:H461"/>
    <mergeCell ref="F462:H462"/>
    <mergeCell ref="F463:H463"/>
    <mergeCell ref="F464:H464"/>
    <mergeCell ref="D465:D475"/>
    <mergeCell ref="E465:E471"/>
    <mergeCell ref="F465:F468"/>
    <mergeCell ref="G465:H465"/>
    <mergeCell ref="G466:H466"/>
    <mergeCell ref="G467:G468"/>
    <mergeCell ref="F469:F471"/>
    <mergeCell ref="G469:H469"/>
    <mergeCell ref="G470:H470"/>
    <mergeCell ref="G471:H471"/>
    <mergeCell ref="E472:E474"/>
    <mergeCell ref="F472:H472"/>
    <mergeCell ref="F473:H473"/>
    <mergeCell ref="F474:H474"/>
    <mergeCell ref="E475:H475"/>
    <mergeCell ref="C476:H476"/>
    <mergeCell ref="C516:H516"/>
    <mergeCell ref="G489:H489"/>
    <mergeCell ref="G490:H490"/>
    <mergeCell ref="G491:H491"/>
    <mergeCell ref="D484:D495"/>
    <mergeCell ref="F495:H495"/>
    <mergeCell ref="C517:H517"/>
    <mergeCell ref="C514:H515"/>
    <mergeCell ref="E484:H484"/>
    <mergeCell ref="E485:F488"/>
    <mergeCell ref="E489:E495"/>
    <mergeCell ref="F489:F491"/>
    <mergeCell ref="G492:H492"/>
    <mergeCell ref="G493:H493"/>
    <mergeCell ref="C518:C538"/>
    <mergeCell ref="D518:H518"/>
    <mergeCell ref="D519:D527"/>
    <mergeCell ref="E519:E523"/>
    <mergeCell ref="F519:H519"/>
    <mergeCell ref="F520:H520"/>
    <mergeCell ref="F521:H521"/>
    <mergeCell ref="F522:G523"/>
    <mergeCell ref="E524:E527"/>
    <mergeCell ref="F524:H524"/>
    <mergeCell ref="F525:H525"/>
    <mergeCell ref="F526:H526"/>
    <mergeCell ref="F527:H527"/>
    <mergeCell ref="D528:D538"/>
    <mergeCell ref="E528:E534"/>
    <mergeCell ref="F528:F531"/>
    <mergeCell ref="I479:I480"/>
    <mergeCell ref="J479:L479"/>
    <mergeCell ref="M479:O479"/>
    <mergeCell ref="E535:E537"/>
    <mergeCell ref="F535:H535"/>
    <mergeCell ref="F536:H536"/>
    <mergeCell ref="F537:H537"/>
    <mergeCell ref="E538:H538"/>
    <mergeCell ref="G528:H528"/>
    <mergeCell ref="G529:H529"/>
    <mergeCell ref="G530:G531"/>
    <mergeCell ref="F532:F534"/>
    <mergeCell ref="G532:H532"/>
    <mergeCell ref="G533:H533"/>
    <mergeCell ref="G534:H534"/>
    <mergeCell ref="D496:H496"/>
    <mergeCell ref="F492:F494"/>
    <mergeCell ref="D482:H482"/>
    <mergeCell ref="D483:H483"/>
    <mergeCell ref="D479:H481"/>
    <mergeCell ref="G485:H485"/>
    <mergeCell ref="G486:H486"/>
    <mergeCell ref="G487:H487"/>
    <mergeCell ref="G488:H488"/>
    <mergeCell ref="C542:H543"/>
    <mergeCell ref="C544:H544"/>
    <mergeCell ref="C545:H545"/>
    <mergeCell ref="C546:C566"/>
    <mergeCell ref="D546:H546"/>
    <mergeCell ref="D547:D555"/>
    <mergeCell ref="E547:E551"/>
    <mergeCell ref="F547:H547"/>
    <mergeCell ref="F548:H548"/>
    <mergeCell ref="F549:H549"/>
    <mergeCell ref="F550:G551"/>
    <mergeCell ref="E552:E555"/>
    <mergeCell ref="F552:H552"/>
    <mergeCell ref="F553:H553"/>
    <mergeCell ref="F554:H554"/>
    <mergeCell ref="F555:H555"/>
    <mergeCell ref="D556:D566"/>
    <mergeCell ref="E556:E562"/>
    <mergeCell ref="F556:F559"/>
    <mergeCell ref="G556:H556"/>
    <mergeCell ref="G557:H557"/>
    <mergeCell ref="G558:G559"/>
    <mergeCell ref="F560:F562"/>
    <mergeCell ref="G560:H560"/>
    <mergeCell ref="C574:H574"/>
    <mergeCell ref="C575:H575"/>
    <mergeCell ref="C576:C596"/>
    <mergeCell ref="D576:H576"/>
    <mergeCell ref="D577:D585"/>
    <mergeCell ref="E577:E581"/>
    <mergeCell ref="F577:H577"/>
    <mergeCell ref="F578:H578"/>
    <mergeCell ref="F579:H579"/>
    <mergeCell ref="F580:G581"/>
    <mergeCell ref="E582:E585"/>
    <mergeCell ref="F582:H582"/>
    <mergeCell ref="C539:L539"/>
    <mergeCell ref="M540:N540"/>
    <mergeCell ref="C540:L540"/>
    <mergeCell ref="C567:L567"/>
    <mergeCell ref="C568:L568"/>
    <mergeCell ref="M568:N568"/>
    <mergeCell ref="C597:L597"/>
    <mergeCell ref="F585:H585"/>
    <mergeCell ref="D586:D596"/>
    <mergeCell ref="E586:E592"/>
    <mergeCell ref="F586:F589"/>
    <mergeCell ref="G586:H586"/>
    <mergeCell ref="G587:H587"/>
    <mergeCell ref="G588:G589"/>
    <mergeCell ref="F590:F592"/>
    <mergeCell ref="G590:H590"/>
    <mergeCell ref="G591:H591"/>
    <mergeCell ref="G561:H561"/>
    <mergeCell ref="G562:H562"/>
    <mergeCell ref="E563:E565"/>
    <mergeCell ref="F563:H563"/>
    <mergeCell ref="F564:H564"/>
    <mergeCell ref="F565:H565"/>
    <mergeCell ref="E566:H566"/>
    <mergeCell ref="F584:H584"/>
    <mergeCell ref="C633:C634"/>
    <mergeCell ref="D633:D634"/>
    <mergeCell ref="C598:L598"/>
    <mergeCell ref="M598:N598"/>
    <mergeCell ref="C609:J609"/>
    <mergeCell ref="E593:E595"/>
    <mergeCell ref="F593:H593"/>
    <mergeCell ref="F594:H594"/>
    <mergeCell ref="F595:H595"/>
    <mergeCell ref="G592:H592"/>
    <mergeCell ref="C624:C625"/>
    <mergeCell ref="C626:C627"/>
    <mergeCell ref="E596:H596"/>
    <mergeCell ref="C572:H573"/>
    <mergeCell ref="E654:E656"/>
    <mergeCell ref="G654:G656"/>
    <mergeCell ref="A197:A210"/>
    <mergeCell ref="C350:G350"/>
    <mergeCell ref="C351:G351"/>
    <mergeCell ref="C352:G352"/>
    <mergeCell ref="C353:G353"/>
    <mergeCell ref="C354:C364"/>
    <mergeCell ref="D354:D357"/>
    <mergeCell ref="E354:E357"/>
    <mergeCell ref="F354:G354"/>
    <mergeCell ref="F355:G355"/>
    <mergeCell ref="F356:G356"/>
    <mergeCell ref="F357:G357"/>
    <mergeCell ref="D358:D364"/>
    <mergeCell ref="E358:E360"/>
    <mergeCell ref="C635:C636"/>
    <mergeCell ref="C637:C638"/>
    <mergeCell ref="C639:C640"/>
    <mergeCell ref="C649:G649"/>
    <mergeCell ref="C653:G653"/>
    <mergeCell ref="C622:C623"/>
    <mergeCell ref="F583:H583"/>
  </mergeCells>
  <hyperlinks>
    <hyperlink ref="C240" r:id="rId1" display="\\oak-srv-fil-001.kema.intra\oa-kcg-cmn\Projects\CPUC - 2010-2012 EM&amp;V\1_WO Folders\KEMA035 - Impact - Appliance Recycling\Reporting\FOR FUTURE-Delivery of Data\Retail Market Actor Analyses\1. Incoming-Outgoing Volumes by Market Actor v4.xlsx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5"/>
  <sheetViews>
    <sheetView topLeftCell="D1" workbookViewId="0">
      <selection activeCell="T22" sqref="T21:U22"/>
    </sheetView>
  </sheetViews>
  <sheetFormatPr defaultRowHeight="14.4"/>
  <cols>
    <col min="8" max="8" width="9.109375" style="626"/>
    <col min="9" max="9" width="12" customWidth="1"/>
    <col min="10" max="10" width="12.44140625" customWidth="1"/>
    <col min="13" max="13" width="11.6640625" bestFit="1" customWidth="1"/>
    <col min="14" max="14" width="13.33203125" customWidth="1"/>
    <col min="16" max="16" width="10.44140625" customWidth="1"/>
    <col min="18" max="18" width="11.33203125" customWidth="1"/>
  </cols>
  <sheetData>
    <row r="2" spans="1:21">
      <c r="L2" s="822" t="s">
        <v>549</v>
      </c>
    </row>
    <row r="3" spans="1:21" ht="15" thickBot="1">
      <c r="B3" t="s">
        <v>17</v>
      </c>
      <c r="L3" t="s">
        <v>403</v>
      </c>
    </row>
    <row r="4" spans="1:21" ht="57.6">
      <c r="B4" s="608" t="s">
        <v>20</v>
      </c>
      <c r="C4" s="609" t="s">
        <v>21</v>
      </c>
      <c r="D4" s="609" t="s">
        <v>22</v>
      </c>
      <c r="E4" s="609" t="s">
        <v>23</v>
      </c>
      <c r="F4" s="609" t="s">
        <v>24</v>
      </c>
      <c r="G4" s="610" t="s">
        <v>392</v>
      </c>
      <c r="H4" s="645" t="s">
        <v>393</v>
      </c>
      <c r="I4" s="528" t="s">
        <v>394</v>
      </c>
      <c r="J4" s="528" t="s">
        <v>400</v>
      </c>
      <c r="L4" s="603" t="s">
        <v>0</v>
      </c>
      <c r="M4" s="603" t="s">
        <v>332</v>
      </c>
      <c r="N4" s="599" t="s">
        <v>394</v>
      </c>
      <c r="O4" s="599" t="s">
        <v>112</v>
      </c>
      <c r="P4" s="599" t="s">
        <v>397</v>
      </c>
      <c r="Q4" s="599" t="s">
        <v>398</v>
      </c>
      <c r="R4" s="599" t="s">
        <v>399</v>
      </c>
      <c r="S4" s="1240" t="s">
        <v>356</v>
      </c>
      <c r="T4" s="1240" t="s">
        <v>906</v>
      </c>
      <c r="U4" s="1240" t="s">
        <v>907</v>
      </c>
    </row>
    <row r="5" spans="1:21">
      <c r="B5" s="611"/>
      <c r="C5" s="607">
        <v>0</v>
      </c>
      <c r="D5" s="607">
        <v>63704</v>
      </c>
      <c r="E5" s="607">
        <v>63704</v>
      </c>
      <c r="F5" s="607">
        <v>45210451.579999998</v>
      </c>
      <c r="G5" s="612">
        <v>10119.17</v>
      </c>
      <c r="H5" s="644">
        <v>-437569.09</v>
      </c>
      <c r="L5" s="1878" t="s">
        <v>256</v>
      </c>
      <c r="M5" s="524" t="s">
        <v>101</v>
      </c>
      <c r="N5" s="598">
        <f>I7</f>
        <v>2.2219617426234251E-4</v>
      </c>
      <c r="O5" s="536">
        <f>'Statewide PGE REF NTG'!Z37</f>
        <v>510.09581670678864</v>
      </c>
      <c r="P5" s="533">
        <f>O5*N5</f>
        <v>0.11334133897947353</v>
      </c>
      <c r="Q5" s="536">
        <f>'Statewide PGE REF NTG'!AB37</f>
        <v>344.07790710639603</v>
      </c>
      <c r="R5" s="602">
        <f>Q5*N5</f>
        <v>7.6452794607234864E-2</v>
      </c>
      <c r="S5">
        <f>'StatewideSummary Tables'!G4</f>
        <v>54650.854581175205</v>
      </c>
      <c r="T5">
        <f>S5*P5</f>
        <v>6194.2010346028928</v>
      </c>
      <c r="U5">
        <f>S5*R5</f>
        <v>4178.2105604044482</v>
      </c>
    </row>
    <row r="6" spans="1:21">
      <c r="B6" s="611" t="s">
        <v>25</v>
      </c>
      <c r="C6" s="607">
        <v>1</v>
      </c>
      <c r="D6" s="607">
        <v>7147</v>
      </c>
      <c r="E6" s="607">
        <v>7147</v>
      </c>
      <c r="F6" s="607">
        <v>4037308</v>
      </c>
      <c r="G6" s="612">
        <v>942.16</v>
      </c>
      <c r="H6" s="644">
        <v>-22972.11</v>
      </c>
      <c r="I6">
        <f>G6/F6</f>
        <v>2.3336341938737394E-4</v>
      </c>
      <c r="J6">
        <f>H6/F6</f>
        <v>-5.6899572685561763E-3</v>
      </c>
      <c r="L6" s="1878"/>
      <c r="M6" s="524" t="s">
        <v>25</v>
      </c>
      <c r="N6" s="598">
        <f>I6</f>
        <v>2.3336341938737394E-4</v>
      </c>
      <c r="O6" s="536">
        <f>'All IOU FRZ NTG'!AQ28</f>
        <v>770.91180802081556</v>
      </c>
      <c r="P6" s="533">
        <f t="shared" ref="P6:P10" si="0">O6*N6</f>
        <v>0.17990261556584028</v>
      </c>
      <c r="Q6" s="536">
        <f>'All IOU FRZ NTG'!AS28</f>
        <v>576.69338243259187</v>
      </c>
      <c r="R6" s="602">
        <f t="shared" ref="R6:R10" si="1">Q6*N6</f>
        <v>0.13457913966254018</v>
      </c>
      <c r="S6" s="916">
        <f>'StatewideSummary Tables'!G5</f>
        <v>7723.9623321308118</v>
      </c>
      <c r="T6" s="916">
        <f t="shared" ref="T6:T10" si="2">S6*P6</f>
        <v>1389.5610260823605</v>
      </c>
      <c r="U6" s="916">
        <f t="shared" ref="U6:U10" si="3">S6*R6</f>
        <v>1039.4842054440321</v>
      </c>
    </row>
    <row r="7" spans="1:21">
      <c r="B7" s="611" t="s">
        <v>26</v>
      </c>
      <c r="C7" s="607">
        <v>1</v>
      </c>
      <c r="D7" s="607">
        <v>55742</v>
      </c>
      <c r="E7" s="607">
        <v>55742</v>
      </c>
      <c r="F7" s="607">
        <v>41137792</v>
      </c>
      <c r="G7" s="612">
        <v>9140.66</v>
      </c>
      <c r="H7" s="644">
        <v>-414596.98</v>
      </c>
      <c r="I7" s="606">
        <f>G7/F7</f>
        <v>2.2219617426234251E-4</v>
      </c>
      <c r="J7" s="643">
        <f>H7/F7</f>
        <v>-1.0078250675194234E-2</v>
      </c>
      <c r="L7" s="1878" t="s">
        <v>18</v>
      </c>
      <c r="M7" s="524" t="s">
        <v>101</v>
      </c>
      <c r="N7" s="598">
        <f>I19</f>
        <v>1.9365918253242979E-4</v>
      </c>
      <c r="O7" s="536">
        <f>'Statewide SCE REF NTG'!Z37</f>
        <v>518.661962675778</v>
      </c>
      <c r="P7" s="533">
        <f t="shared" si="0"/>
        <v>0.10044365170245678</v>
      </c>
      <c r="Q7" s="536">
        <f>'Statewide SCE REF NTG'!AB37</f>
        <v>352.3858461220122</v>
      </c>
      <c r="R7" s="602">
        <f t="shared" si="1"/>
        <v>6.8242754895987481E-2</v>
      </c>
      <c r="S7">
        <f>'StatewideSummary Tables'!G7</f>
        <v>180503.57754927163</v>
      </c>
      <c r="T7" s="916">
        <f t="shared" si="2"/>
        <v>18130.438474406437</v>
      </c>
      <c r="U7" s="916">
        <f t="shared" si="3"/>
        <v>12318.061400543813</v>
      </c>
    </row>
    <row r="8" spans="1:21" ht="15" thickBot="1">
      <c r="B8" s="613" t="s">
        <v>373</v>
      </c>
      <c r="C8" s="614">
        <v>1</v>
      </c>
      <c r="D8" s="614">
        <v>815</v>
      </c>
      <c r="E8" s="614">
        <v>815</v>
      </c>
      <c r="F8" s="614">
        <v>35351.58</v>
      </c>
      <c r="G8" s="615">
        <v>36.35</v>
      </c>
      <c r="H8" s="646">
        <v>0</v>
      </c>
      <c r="L8" s="1878"/>
      <c r="M8" s="524" t="s">
        <v>25</v>
      </c>
      <c r="N8" s="598">
        <f>I16</f>
        <v>1.9750338716273736E-4</v>
      </c>
      <c r="O8" s="536">
        <f>'All IOU FRZ NTG'!AQ28</f>
        <v>770.91180802081556</v>
      </c>
      <c r="P8" s="533">
        <f t="shared" si="0"/>
        <v>0.15225769328786098</v>
      </c>
      <c r="Q8" s="536">
        <f>'All IOU FRZ NTG'!AS28</f>
        <v>576.69338243259187</v>
      </c>
      <c r="R8" s="602">
        <f t="shared" si="1"/>
        <v>0.11389889638477275</v>
      </c>
      <c r="S8" s="916">
        <f>'StatewideSummary Tables'!G8</f>
        <v>15665.722885486883</v>
      </c>
      <c r="T8" s="916">
        <f t="shared" si="2"/>
        <v>2385.2268302310863</v>
      </c>
      <c r="U8" s="916">
        <f t="shared" si="3"/>
        <v>1784.3085477266336</v>
      </c>
    </row>
    <row r="9" spans="1:21">
      <c r="A9" s="589"/>
      <c r="L9" s="1878" t="s">
        <v>257</v>
      </c>
      <c r="M9" s="524" t="s">
        <v>101</v>
      </c>
      <c r="N9" s="598">
        <f>I27</f>
        <v>1.5557037194444636E-4</v>
      </c>
      <c r="O9" s="536">
        <f>'Statewide SDGE REF NTG'!Z37</f>
        <v>384.8198519912296</v>
      </c>
      <c r="P9" s="533">
        <f t="shared" si="0"/>
        <v>5.9866567505882387E-2</v>
      </c>
      <c r="Q9" s="536">
        <f>'Statewide SDGE REF NTG'!AB37</f>
        <v>271.61058114611239</v>
      </c>
      <c r="R9" s="602">
        <f t="shared" si="1"/>
        <v>4.2254559132947934E-2</v>
      </c>
      <c r="S9" s="916">
        <f>'StatewideSummary Tables'!G9</f>
        <v>40405.109275159746</v>
      </c>
      <c r="T9" s="916">
        <f t="shared" si="2"/>
        <v>2418.9152020039055</v>
      </c>
      <c r="U9" s="916">
        <f t="shared" si="3"/>
        <v>1707.3000791404606</v>
      </c>
    </row>
    <row r="10" spans="1:21">
      <c r="A10" s="589"/>
      <c r="L10" s="1878"/>
      <c r="M10" s="524" t="s">
        <v>25</v>
      </c>
      <c r="N10" s="598">
        <f>I26</f>
        <v>1.5572861403476265E-4</v>
      </c>
      <c r="O10" s="536">
        <f>'All IOU FRZ NTG'!AQ28</f>
        <v>770.91180802081556</v>
      </c>
      <c r="P10" s="533">
        <f t="shared" si="0"/>
        <v>0.12005302740611462</v>
      </c>
      <c r="Q10" s="536">
        <f>'All IOU FRZ NTG'!AS28</f>
        <v>576.69338243259187</v>
      </c>
      <c r="R10" s="602">
        <f t="shared" si="1"/>
        <v>8.9807661169246877E-2</v>
      </c>
      <c r="S10" s="916">
        <f>'StatewideSummary Tables'!G10</f>
        <v>4420</v>
      </c>
      <c r="T10" s="916">
        <f t="shared" si="2"/>
        <v>530.63438113502662</v>
      </c>
      <c r="U10" s="916">
        <f t="shared" si="3"/>
        <v>396.94986236807119</v>
      </c>
    </row>
    <row r="11" spans="1:21">
      <c r="A11" s="589"/>
    </row>
    <row r="12" spans="1:21">
      <c r="A12" s="589"/>
    </row>
    <row r="13" spans="1:21" ht="15" thickBot="1">
      <c r="A13" s="589"/>
      <c r="B13" t="s">
        <v>18</v>
      </c>
      <c r="L13" t="s">
        <v>404</v>
      </c>
    </row>
    <row r="14" spans="1:21" ht="57.6">
      <c r="B14" s="617" t="s">
        <v>20</v>
      </c>
      <c r="C14" s="618" t="s">
        <v>21</v>
      </c>
      <c r="D14" s="618" t="s">
        <v>22</v>
      </c>
      <c r="E14" s="618" t="s">
        <v>27</v>
      </c>
      <c r="F14" s="618" t="s">
        <v>24</v>
      </c>
      <c r="G14" s="619" t="s">
        <v>392</v>
      </c>
      <c r="H14" s="640" t="s">
        <v>393</v>
      </c>
      <c r="I14" s="528" t="s">
        <v>394</v>
      </c>
      <c r="J14" s="528" t="s">
        <v>400</v>
      </c>
      <c r="L14" s="603" t="s">
        <v>0</v>
      </c>
      <c r="M14" s="603" t="s">
        <v>332</v>
      </c>
      <c r="N14" s="601" t="s">
        <v>400</v>
      </c>
      <c r="O14" s="599" t="s">
        <v>112</v>
      </c>
      <c r="P14" s="599" t="s">
        <v>401</v>
      </c>
      <c r="Q14" s="599" t="s">
        <v>398</v>
      </c>
      <c r="R14" s="599" t="s">
        <v>402</v>
      </c>
      <c r="S14" t="str">
        <f>S4</f>
        <v>Verified Units</v>
      </c>
      <c r="T14" s="1240" t="s">
        <v>906</v>
      </c>
      <c r="U14" s="1240" t="s">
        <v>907</v>
      </c>
    </row>
    <row r="15" spans="1:21">
      <c r="B15" s="620"/>
      <c r="C15" s="616">
        <v>0</v>
      </c>
      <c r="D15" s="616">
        <v>198776</v>
      </c>
      <c r="E15" s="616">
        <v>198776</v>
      </c>
      <c r="F15" s="616">
        <v>168034841.55000001</v>
      </c>
      <c r="G15" s="621">
        <v>32598.91</v>
      </c>
      <c r="H15" s="639">
        <v>-3515686.43</v>
      </c>
      <c r="J15" s="643"/>
      <c r="L15" s="1878" t="s">
        <v>256</v>
      </c>
      <c r="M15" s="625" t="s">
        <v>101</v>
      </c>
      <c r="N15" s="604">
        <f>J7</f>
        <v>-1.0078250675194234E-2</v>
      </c>
      <c r="O15" s="605">
        <f>O5</f>
        <v>510.09581670678864</v>
      </c>
      <c r="P15" s="625">
        <f>O15*N15</f>
        <v>-5.140873509138947</v>
      </c>
      <c r="Q15" s="605">
        <f>Q5</f>
        <v>344.07790710639603</v>
      </c>
      <c r="R15" s="625">
        <f>Q15*N15</f>
        <v>-3.4677033996144546</v>
      </c>
      <c r="S15" s="916">
        <f t="shared" ref="S15:S19" si="4">S5</f>
        <v>54650.854581175205</v>
      </c>
      <c r="T15" s="916">
        <f>S15*P15</f>
        <v>-280953.13056816848</v>
      </c>
      <c r="U15" s="916">
        <f>S15*R15</f>
        <v>-189512.95422297646</v>
      </c>
    </row>
    <row r="16" spans="1:21">
      <c r="B16" s="620" t="s">
        <v>25</v>
      </c>
      <c r="C16" s="616">
        <v>1</v>
      </c>
      <c r="D16" s="616">
        <v>15511</v>
      </c>
      <c r="E16" s="616">
        <v>15511</v>
      </c>
      <c r="F16" s="616">
        <v>14936756.49</v>
      </c>
      <c r="G16" s="621">
        <v>2950.06</v>
      </c>
      <c r="H16" s="639">
        <v>-300325.01</v>
      </c>
      <c r="I16">
        <f>G16/F16</f>
        <v>1.9750338716273736E-4</v>
      </c>
      <c r="J16" s="643">
        <f>H16/F16</f>
        <v>-2.0106440792622172E-2</v>
      </c>
      <c r="L16" s="1878"/>
      <c r="M16" s="625" t="s">
        <v>25</v>
      </c>
      <c r="N16" s="604">
        <f>J6</f>
        <v>-5.6899572685561763E-3</v>
      </c>
      <c r="O16" s="605">
        <f t="shared" ref="O16:O20" si="5">O6</f>
        <v>770.91180802081556</v>
      </c>
      <c r="P16" s="625">
        <f t="shared" ref="P16:P20" si="6">O16*N16</f>
        <v>-4.3864552454638233</v>
      </c>
      <c r="Q16" s="605">
        <f t="shared" ref="Q16:Q20" si="7">Q6</f>
        <v>576.69338243259187</v>
      </c>
      <c r="R16" s="625">
        <f t="shared" ref="R16:R20" si="8">Q16*N16</f>
        <v>-3.2813607031005727</v>
      </c>
      <c r="S16" s="916">
        <f t="shared" si="4"/>
        <v>7723.9623321308118</v>
      </c>
      <c r="T16" s="916">
        <f t="shared" ref="T16:T20" si="9">S16*P16</f>
        <v>-33880.815087540184</v>
      </c>
      <c r="U16" s="916">
        <f t="shared" ref="U16:U20" si="10">S16*R16</f>
        <v>-25345.106468883099</v>
      </c>
    </row>
    <row r="17" spans="2:21">
      <c r="B17" s="620" t="s">
        <v>28</v>
      </c>
      <c r="C17" s="616">
        <v>1</v>
      </c>
      <c r="D17" s="616">
        <v>40</v>
      </c>
      <c r="E17" s="616">
        <v>40</v>
      </c>
      <c r="F17" s="616">
        <v>38315.360000000001</v>
      </c>
      <c r="G17" s="621">
        <v>7.58</v>
      </c>
      <c r="H17" s="639">
        <v>-793.77</v>
      </c>
      <c r="L17" s="1878" t="s">
        <v>18</v>
      </c>
      <c r="M17" s="625" t="s">
        <v>101</v>
      </c>
      <c r="N17" s="604">
        <f>J19</f>
        <v>-2.1001970133982289E-2</v>
      </c>
      <c r="O17" s="605">
        <f t="shared" si="5"/>
        <v>518.661962675778</v>
      </c>
      <c r="P17" s="625">
        <f t="shared" si="6"/>
        <v>-10.892923049749326</v>
      </c>
      <c r="Q17" s="605">
        <f t="shared" si="7"/>
        <v>352.3858461220122</v>
      </c>
      <c r="R17" s="625">
        <f t="shared" si="8"/>
        <v>-7.4007970158925787</v>
      </c>
      <c r="S17" s="916">
        <f t="shared" si="4"/>
        <v>180503.57754927163</v>
      </c>
      <c r="T17" s="916">
        <f t="shared" si="9"/>
        <v>-1966211.5804486759</v>
      </c>
      <c r="U17" s="916">
        <f t="shared" si="10"/>
        <v>-1335870.3380845841</v>
      </c>
    </row>
    <row r="18" spans="2:21" ht="15" thickBot="1">
      <c r="B18" s="622" t="s">
        <v>26</v>
      </c>
      <c r="C18" s="623">
        <v>1</v>
      </c>
      <c r="D18" s="623">
        <v>183225</v>
      </c>
      <c r="E18" s="623">
        <v>183225</v>
      </c>
      <c r="F18" s="623">
        <v>153059769.69999999</v>
      </c>
      <c r="G18" s="624">
        <v>29641.27</v>
      </c>
      <c r="H18" s="641">
        <v>-3214567.64</v>
      </c>
      <c r="L18" s="1878"/>
      <c r="M18" s="625" t="s">
        <v>25</v>
      </c>
      <c r="N18" s="604">
        <f>J16</f>
        <v>-2.0106440792622172E-2</v>
      </c>
      <c r="O18" s="605">
        <f t="shared" si="5"/>
        <v>770.91180802081556</v>
      </c>
      <c r="P18" s="625">
        <f t="shared" si="6"/>
        <v>-15.500292624303839</v>
      </c>
      <c r="Q18" s="605">
        <f t="shared" si="7"/>
        <v>576.69338243259187</v>
      </c>
      <c r="R18" s="625">
        <f t="shared" si="8"/>
        <v>-11.595251349377925</v>
      </c>
      <c r="S18" s="916">
        <f t="shared" si="4"/>
        <v>15665.722885486883</v>
      </c>
      <c r="T18" s="916">
        <f t="shared" si="9"/>
        <v>-242823.28889630019</v>
      </c>
      <c r="U18" s="916">
        <f t="shared" si="10"/>
        <v>-181647.99442692241</v>
      </c>
    </row>
    <row r="19" spans="2:21" ht="15" thickBot="1">
      <c r="B19" s="622" t="s">
        <v>395</v>
      </c>
      <c r="C19" s="623"/>
      <c r="D19" s="623">
        <f>D17+D18</f>
        <v>183265</v>
      </c>
      <c r="E19" s="623">
        <f t="shared" ref="E19:H19" si="11">E17+E18</f>
        <v>183265</v>
      </c>
      <c r="F19" s="623">
        <f t="shared" si="11"/>
        <v>153098085.06</v>
      </c>
      <c r="G19" s="624">
        <f t="shared" si="11"/>
        <v>29648.850000000002</v>
      </c>
      <c r="H19" s="642">
        <f t="shared" si="11"/>
        <v>-3215361.41</v>
      </c>
      <c r="I19" s="600">
        <f>G19/F19</f>
        <v>1.9365918253242979E-4</v>
      </c>
      <c r="J19" s="643">
        <f>H19/F19</f>
        <v>-2.1001970133982289E-2</v>
      </c>
      <c r="L19" s="1878" t="s">
        <v>257</v>
      </c>
      <c r="M19" s="625" t="s">
        <v>101</v>
      </c>
      <c r="N19" s="604">
        <f>J27</f>
        <v>-9.8763335022358355E-3</v>
      </c>
      <c r="O19" s="605">
        <f t="shared" si="5"/>
        <v>384.8198519912296</v>
      </c>
      <c r="P19" s="625">
        <f t="shared" si="6"/>
        <v>-3.8006091965464166</v>
      </c>
      <c r="Q19" s="605">
        <f t="shared" si="7"/>
        <v>271.61058114611239</v>
      </c>
      <c r="R19" s="625">
        <f t="shared" si="8"/>
        <v>-2.6825166821350948</v>
      </c>
      <c r="S19" s="916">
        <f t="shared" si="4"/>
        <v>40405.109275159746</v>
      </c>
      <c r="T19" s="916">
        <f t="shared" si="9"/>
        <v>-153564.02989863505</v>
      </c>
      <c r="U19" s="916">
        <f t="shared" si="10"/>
        <v>-108387.37967410746</v>
      </c>
    </row>
    <row r="20" spans="2:21">
      <c r="L20" s="1878"/>
      <c r="M20" s="625" t="s">
        <v>25</v>
      </c>
      <c r="N20" s="604">
        <f>J26</f>
        <v>-6.9143404035616274E-3</v>
      </c>
      <c r="O20" s="605">
        <f t="shared" si="5"/>
        <v>770.91180802081556</v>
      </c>
      <c r="P20" s="625">
        <f t="shared" si="6"/>
        <v>-5.3303466617810695</v>
      </c>
      <c r="Q20" s="605">
        <f t="shared" si="7"/>
        <v>576.69338243259187</v>
      </c>
      <c r="R20" s="625">
        <f t="shared" si="8"/>
        <v>-3.9874543546202874</v>
      </c>
      <c r="S20" s="916">
        <f>S10</f>
        <v>4420</v>
      </c>
      <c r="T20" s="916">
        <f t="shared" si="9"/>
        <v>-23560.132245072327</v>
      </c>
      <c r="U20" s="916">
        <f t="shared" si="10"/>
        <v>-17624.54824742167</v>
      </c>
    </row>
    <row r="22" spans="2:21">
      <c r="S22" t="s">
        <v>368</v>
      </c>
      <c r="T22">
        <f>T16+T18+T20</f>
        <v>-300264.23622891272</v>
      </c>
      <c r="U22" s="916">
        <f>U16+U18+U20</f>
        <v>-224617.6491432272</v>
      </c>
    </row>
    <row r="23" spans="2:21" s="597" customFormat="1" ht="15" thickBot="1">
      <c r="B23" s="597" t="s">
        <v>4</v>
      </c>
    </row>
    <row r="24" spans="2:21" s="597" customFormat="1" ht="57.6">
      <c r="B24" s="628" t="s">
        <v>20</v>
      </c>
      <c r="C24" s="629" t="s">
        <v>21</v>
      </c>
      <c r="D24" s="629" t="s">
        <v>22</v>
      </c>
      <c r="E24" s="629" t="s">
        <v>27</v>
      </c>
      <c r="F24" s="629" t="s">
        <v>24</v>
      </c>
      <c r="G24" s="630" t="s">
        <v>392</v>
      </c>
      <c r="H24" s="637" t="s">
        <v>396</v>
      </c>
      <c r="I24" s="528" t="s">
        <v>394</v>
      </c>
      <c r="J24" s="528" t="s">
        <v>400</v>
      </c>
    </row>
    <row r="25" spans="2:21" s="597" customFormat="1">
      <c r="B25" s="631"/>
      <c r="C25" s="627">
        <v>0</v>
      </c>
      <c r="D25" s="627">
        <v>46057</v>
      </c>
      <c r="E25" s="627">
        <v>46057</v>
      </c>
      <c r="F25" s="627">
        <v>42330082.149999999</v>
      </c>
      <c r="G25" s="632">
        <v>6585.81</v>
      </c>
      <c r="H25" s="636">
        <v>-268586.07</v>
      </c>
    </row>
    <row r="26" spans="2:21" s="597" customFormat="1">
      <c r="B26" s="631" t="s">
        <v>25</v>
      </c>
      <c r="C26" s="627">
        <v>1</v>
      </c>
      <c r="D26" s="627">
        <v>4420</v>
      </c>
      <c r="E26" s="627">
        <v>4420</v>
      </c>
      <c r="F26" s="627">
        <v>3181046.74</v>
      </c>
      <c r="G26" s="632">
        <v>495.38</v>
      </c>
      <c r="H26" s="636">
        <v>-21994.84</v>
      </c>
      <c r="I26" s="597">
        <f>G26/F26</f>
        <v>1.5572861403476265E-4</v>
      </c>
      <c r="J26" s="643">
        <f>H26/F26</f>
        <v>-6.9143404035616274E-3</v>
      </c>
    </row>
    <row r="27" spans="2:21" s="597" customFormat="1">
      <c r="B27" s="631" t="s">
        <v>26</v>
      </c>
      <c r="C27" s="627">
        <v>1</v>
      </c>
      <c r="D27" s="627">
        <v>40893</v>
      </c>
      <c r="E27" s="627">
        <v>40893</v>
      </c>
      <c r="F27" s="627">
        <v>39149035.409999996</v>
      </c>
      <c r="G27" s="632">
        <v>6090.43</v>
      </c>
      <c r="H27" s="636">
        <v>-386648.93</v>
      </c>
      <c r="I27" s="597">
        <f>G27/F27</f>
        <v>1.5557037194444636E-4</v>
      </c>
      <c r="J27" s="643">
        <f>H27/F27</f>
        <v>-9.8763335022358355E-3</v>
      </c>
    </row>
    <row r="28" spans="2:21" s="597" customFormat="1" ht="15" thickBot="1">
      <c r="B28" s="633" t="s">
        <v>373</v>
      </c>
      <c r="C28" s="634">
        <v>1</v>
      </c>
      <c r="D28" s="634">
        <v>744</v>
      </c>
      <c r="E28" s="634">
        <v>744</v>
      </c>
      <c r="F28" s="634">
        <v>0</v>
      </c>
      <c r="G28" s="635">
        <v>0</v>
      </c>
      <c r="H28" s="638">
        <v>140057.70000000001</v>
      </c>
    </row>
    <row r="29" spans="2:21" s="597" customFormat="1"/>
    <row r="30" spans="2:21" s="597" customFormat="1"/>
    <row r="31" spans="2:21" s="597" customFormat="1"/>
    <row r="32" spans="2:21" s="597" customFormat="1"/>
    <row r="33" s="597" customFormat="1"/>
    <row r="34" s="597" customFormat="1"/>
    <row r="35" s="597" customFormat="1"/>
    <row r="36" s="597" customFormat="1"/>
    <row r="37" s="597" customFormat="1"/>
    <row r="38" s="597" customFormat="1"/>
    <row r="39" s="597" customFormat="1"/>
    <row r="40" s="597" customFormat="1"/>
    <row r="41" s="597" customFormat="1"/>
    <row r="42" s="597" customFormat="1"/>
    <row r="43" s="597" customFormat="1"/>
    <row r="44" s="597" customFormat="1"/>
    <row r="45" s="597" customFormat="1"/>
  </sheetData>
  <customSheetViews>
    <customSheetView guid="{7E8F70E7-08A0-442B-A100-F92E13F1F337}" topLeftCell="K4">
      <selection activeCell="N15" sqref="N15:R20"/>
      <pageMargins left="0.7" right="0.7" top="0.75" bottom="0.75" header="0.3" footer="0.3"/>
    </customSheetView>
    <customSheetView guid="{52F27401-6741-4136-9223-9843499AE81D}" topLeftCell="K4">
      <selection activeCell="N15" sqref="N15:R20"/>
      <pageMargins left="0.7" right="0.7" top="0.75" bottom="0.75" header="0.3" footer="0.3"/>
    </customSheetView>
  </customSheetViews>
  <mergeCells count="6">
    <mergeCell ref="L15:L16"/>
    <mergeCell ref="L17:L18"/>
    <mergeCell ref="L19:L20"/>
    <mergeCell ref="L5:L6"/>
    <mergeCell ref="L7:L8"/>
    <mergeCell ref="L9:L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workbookViewId="0">
      <selection activeCell="N5" sqref="N5"/>
    </sheetView>
  </sheetViews>
  <sheetFormatPr defaultRowHeight="14.4"/>
  <cols>
    <col min="1" max="1" width="42.44140625" customWidth="1"/>
    <col min="2" max="2" width="12.109375" bestFit="1" customWidth="1"/>
    <col min="3" max="3" width="16.109375" customWidth="1"/>
    <col min="4" max="4" width="9" bestFit="1" customWidth="1"/>
    <col min="5" max="5" width="12.5546875" bestFit="1" customWidth="1"/>
    <col min="6" max="6" width="10.88671875" customWidth="1"/>
    <col min="8" max="8" width="26.109375" bestFit="1" customWidth="1"/>
    <col min="9" max="9" width="7.5546875" bestFit="1" customWidth="1"/>
    <col min="14" max="14" width="32.6640625" bestFit="1" customWidth="1"/>
    <col min="15" max="15" width="6.88671875" bestFit="1" customWidth="1"/>
    <col min="16" max="16" width="6.33203125" bestFit="1" customWidth="1"/>
    <col min="17" max="17" width="8.33203125" bestFit="1" customWidth="1"/>
    <col min="19" max="19" width="18.6640625" customWidth="1"/>
  </cols>
  <sheetData>
    <row r="1" spans="1:17" ht="15" thickBot="1">
      <c r="A1" s="115" t="s">
        <v>198</v>
      </c>
      <c r="C1" t="s">
        <v>34</v>
      </c>
      <c r="D1" t="s">
        <v>225</v>
      </c>
      <c r="E1" t="s">
        <v>223</v>
      </c>
      <c r="F1" t="s">
        <v>224</v>
      </c>
    </row>
    <row r="2" spans="1:17" ht="25.8" thickBot="1">
      <c r="A2" s="172" t="s">
        <v>100</v>
      </c>
      <c r="B2" s="173" t="s">
        <v>0</v>
      </c>
      <c r="C2" s="172" t="s">
        <v>34</v>
      </c>
      <c r="D2" s="174" t="s">
        <v>189</v>
      </c>
      <c r="E2" s="172" t="s">
        <v>177</v>
      </c>
      <c r="F2" s="173" t="s">
        <v>178</v>
      </c>
      <c r="G2" s="175"/>
      <c r="H2" s="176" t="s">
        <v>179</v>
      </c>
      <c r="I2" s="176" t="s">
        <v>180</v>
      </c>
    </row>
    <row r="3" spans="1:17" ht="15" thickBot="1">
      <c r="A3" s="178" t="s">
        <v>101</v>
      </c>
      <c r="B3" s="179" t="s">
        <v>17</v>
      </c>
      <c r="C3" s="179">
        <v>55823</v>
      </c>
      <c r="D3" s="179">
        <v>1035.9927015759845</v>
      </c>
      <c r="E3" s="179" t="s">
        <v>190</v>
      </c>
      <c r="F3" s="180">
        <v>6.6324569391889313E-2</v>
      </c>
      <c r="G3" s="181"/>
      <c r="H3" s="177" t="s">
        <v>181</v>
      </c>
      <c r="I3" s="182">
        <v>68.711769825167252</v>
      </c>
      <c r="J3" s="186">
        <f>1149-D3</f>
        <v>113.00729842401552</v>
      </c>
      <c r="K3">
        <f>I3*1.645</f>
        <v>113.03086136240013</v>
      </c>
    </row>
    <row r="4" spans="1:17" ht="15" thickBot="1">
      <c r="A4" s="178" t="s">
        <v>101</v>
      </c>
      <c r="B4" s="179" t="s">
        <v>18</v>
      </c>
      <c r="C4" s="179">
        <v>182544</v>
      </c>
      <c r="D4" s="179">
        <v>958.28708348749888</v>
      </c>
      <c r="E4" s="179" t="s">
        <v>191</v>
      </c>
      <c r="F4" s="180">
        <v>7.2996516800871672E-2</v>
      </c>
      <c r="G4" s="181"/>
      <c r="H4" s="177" t="s">
        <v>182</v>
      </c>
      <c r="I4" s="182">
        <v>69.951619189853531</v>
      </c>
    </row>
    <row r="5" spans="1:17" ht="15" thickBot="1">
      <c r="A5" s="178" t="s">
        <v>101</v>
      </c>
      <c r="B5" s="179" t="s">
        <v>4</v>
      </c>
      <c r="C5" s="179">
        <v>41221</v>
      </c>
      <c r="D5" s="179">
        <v>853</v>
      </c>
      <c r="E5" s="179" t="s">
        <v>192</v>
      </c>
      <c r="F5" s="180">
        <v>9.2776317430868768E-2</v>
      </c>
      <c r="G5" s="181"/>
      <c r="H5" s="177" t="s">
        <v>183</v>
      </c>
      <c r="I5" s="182">
        <v>75.656474204663084</v>
      </c>
    </row>
    <row r="6" spans="1:17" s="116" customFormat="1" ht="15" thickBot="1">
      <c r="A6" s="178" t="s">
        <v>101</v>
      </c>
      <c r="B6" s="324" t="s">
        <v>161</v>
      </c>
      <c r="C6" s="324">
        <v>279588</v>
      </c>
      <c r="D6" s="324">
        <v>928.73448036334571</v>
      </c>
      <c r="E6" s="324" t="s">
        <v>193</v>
      </c>
      <c r="F6" s="325">
        <v>7.3862440807004395E-2</v>
      </c>
      <c r="G6" s="326"/>
      <c r="H6" s="327" t="s">
        <v>184</v>
      </c>
      <c r="I6" s="328">
        <v>68.598595581261606</v>
      </c>
    </row>
    <row r="7" spans="1:17" ht="15" thickBot="1">
      <c r="A7" s="183" t="s">
        <v>25</v>
      </c>
      <c r="B7" s="179" t="s">
        <v>17</v>
      </c>
      <c r="C7" s="179">
        <v>7156</v>
      </c>
      <c r="D7" s="179">
        <v>1218.7691760013736</v>
      </c>
      <c r="E7" s="179" t="s">
        <v>194</v>
      </c>
      <c r="F7" s="180">
        <v>0.1010754141231658</v>
      </c>
      <c r="G7" s="181"/>
      <c r="H7" s="177" t="s">
        <v>185</v>
      </c>
      <c r="I7" s="182">
        <v>123.18759918488838</v>
      </c>
    </row>
    <row r="8" spans="1:17" ht="15" thickBot="1">
      <c r="A8" s="183" t="s">
        <v>25</v>
      </c>
      <c r="B8" s="179" t="s">
        <v>18</v>
      </c>
      <c r="C8" s="179">
        <v>15729</v>
      </c>
      <c r="D8" s="179">
        <v>1006.8850689711195</v>
      </c>
      <c r="E8" s="179" t="s">
        <v>195</v>
      </c>
      <c r="F8" s="180">
        <v>0.12528139069480804</v>
      </c>
      <c r="G8" s="181"/>
      <c r="H8" s="177" t="s">
        <v>186</v>
      </c>
      <c r="I8" s="182">
        <v>126.14396171053957</v>
      </c>
    </row>
    <row r="9" spans="1:17" ht="15" thickBot="1">
      <c r="A9" s="183" t="s">
        <v>25</v>
      </c>
      <c r="B9" s="179" t="s">
        <v>4</v>
      </c>
      <c r="C9" s="179">
        <v>4488</v>
      </c>
      <c r="D9" s="179">
        <v>863.33584587966209</v>
      </c>
      <c r="E9" s="179" t="s">
        <v>196</v>
      </c>
      <c r="F9" s="180">
        <v>0.16034566848067774</v>
      </c>
      <c r="G9" s="181"/>
      <c r="H9" s="177" t="s">
        <v>187</v>
      </c>
      <c r="I9" s="182">
        <v>138.43216333090578</v>
      </c>
    </row>
    <row r="10" spans="1:17" s="116" customFormat="1" ht="15" thickBot="1">
      <c r="A10" s="183" t="s">
        <v>25</v>
      </c>
      <c r="B10" s="324" t="s">
        <v>161</v>
      </c>
      <c r="C10" s="324">
        <v>27373</v>
      </c>
      <c r="D10" s="324">
        <v>1032.394209933032</v>
      </c>
      <c r="E10" s="324" t="s">
        <v>197</v>
      </c>
      <c r="F10" s="325">
        <v>0.12031567644445756</v>
      </c>
      <c r="G10" s="329"/>
      <c r="H10" s="327" t="s">
        <v>188</v>
      </c>
      <c r="I10" s="328">
        <v>124.21320772543407</v>
      </c>
    </row>
    <row r="12" spans="1:17" ht="15" thickBot="1">
      <c r="A12" s="185" t="s">
        <v>199</v>
      </c>
      <c r="H12" s="3" t="s">
        <v>303</v>
      </c>
    </row>
    <row r="13" spans="1:17" ht="38.4" thickBot="1">
      <c r="A13" s="172" t="s">
        <v>100</v>
      </c>
      <c r="B13" s="173" t="s">
        <v>0</v>
      </c>
      <c r="C13" s="172" t="s">
        <v>34</v>
      </c>
      <c r="D13" s="174" t="s">
        <v>189</v>
      </c>
      <c r="E13" s="172" t="s">
        <v>177</v>
      </c>
      <c r="F13" s="173" t="s">
        <v>178</v>
      </c>
      <c r="G13" s="175"/>
      <c r="H13" s="504" t="s">
        <v>179</v>
      </c>
      <c r="I13" s="504" t="s">
        <v>180</v>
      </c>
      <c r="J13" s="504" t="s">
        <v>324</v>
      </c>
      <c r="K13" s="504" t="s">
        <v>325</v>
      </c>
    </row>
    <row r="14" spans="1:17" ht="25.8" thickBot="1">
      <c r="A14" s="178" t="s">
        <v>101</v>
      </c>
      <c r="B14" s="179" t="s">
        <v>17</v>
      </c>
      <c r="C14" s="495">
        <v>5394</v>
      </c>
      <c r="D14" s="494">
        <v>791</v>
      </c>
      <c r="E14" s="494" t="s">
        <v>200</v>
      </c>
      <c r="F14" s="496">
        <v>0.12</v>
      </c>
      <c r="G14" s="181"/>
      <c r="H14" s="505" t="s">
        <v>181</v>
      </c>
      <c r="I14" s="506">
        <v>98</v>
      </c>
      <c r="J14" s="506">
        <v>630</v>
      </c>
      <c r="K14" s="506">
        <v>951</v>
      </c>
      <c r="N14" s="497" t="s">
        <v>311</v>
      </c>
      <c r="O14" s="498" t="s">
        <v>256</v>
      </c>
      <c r="P14" s="499" t="s">
        <v>18</v>
      </c>
      <c r="Q14" s="499" t="s">
        <v>257</v>
      </c>
    </row>
    <row r="15" spans="1:17" ht="15" thickBot="1">
      <c r="A15" s="178" t="s">
        <v>101</v>
      </c>
      <c r="B15" s="179" t="s">
        <v>18</v>
      </c>
      <c r="C15" s="494">
        <v>644</v>
      </c>
      <c r="D15" s="494">
        <v>737</v>
      </c>
      <c r="E15" s="494" t="s">
        <v>201</v>
      </c>
      <c r="F15" s="496">
        <v>0.11</v>
      </c>
      <c r="G15" s="181"/>
      <c r="H15" s="505" t="s">
        <v>182</v>
      </c>
      <c r="I15" s="506">
        <v>84</v>
      </c>
      <c r="J15" s="506">
        <v>599</v>
      </c>
      <c r="K15" s="506">
        <v>875</v>
      </c>
      <c r="N15" s="1694" t="s">
        <v>290</v>
      </c>
      <c r="O15" s="1694"/>
      <c r="P15" s="1694"/>
      <c r="Q15" s="1694"/>
    </row>
    <row r="16" spans="1:17" ht="15" thickBot="1">
      <c r="A16" s="178" t="s">
        <v>101</v>
      </c>
      <c r="B16" s="179" t="s">
        <v>4</v>
      </c>
      <c r="C16" s="495">
        <v>19704</v>
      </c>
      <c r="D16" s="494">
        <v>724</v>
      </c>
      <c r="E16" s="494" t="s">
        <v>202</v>
      </c>
      <c r="F16" s="496">
        <v>0.13</v>
      </c>
      <c r="G16" s="181"/>
      <c r="H16" s="505" t="s">
        <v>183</v>
      </c>
      <c r="I16" s="506">
        <v>92</v>
      </c>
      <c r="J16" s="506">
        <v>572</v>
      </c>
      <c r="K16" s="506">
        <v>875</v>
      </c>
      <c r="N16" s="500" t="s">
        <v>312</v>
      </c>
      <c r="O16" s="484">
        <f>D14</f>
        <v>791</v>
      </c>
      <c r="P16" s="484">
        <f>D15</f>
        <v>737</v>
      </c>
      <c r="Q16" s="484">
        <f>D16</f>
        <v>724</v>
      </c>
    </row>
    <row r="17" spans="1:17" s="116" customFormat="1" ht="15" thickBot="1">
      <c r="A17" s="178" t="s">
        <v>101</v>
      </c>
      <c r="B17" s="324" t="s">
        <v>161</v>
      </c>
      <c r="C17" s="495">
        <v>25742</v>
      </c>
      <c r="D17" s="494">
        <v>725</v>
      </c>
      <c r="E17" s="494" t="s">
        <v>203</v>
      </c>
      <c r="F17" s="496">
        <v>0.13</v>
      </c>
      <c r="G17" s="326"/>
      <c r="H17" s="505" t="s">
        <v>184</v>
      </c>
      <c r="I17" s="506">
        <v>93</v>
      </c>
      <c r="J17" s="506">
        <v>573</v>
      </c>
      <c r="K17" s="506">
        <v>878</v>
      </c>
      <c r="N17" s="500" t="s">
        <v>313</v>
      </c>
      <c r="O17" s="484">
        <f>D25</f>
        <v>783</v>
      </c>
      <c r="P17" s="484">
        <f>D26</f>
        <v>635</v>
      </c>
      <c r="Q17" s="484">
        <f>D27</f>
        <v>660</v>
      </c>
    </row>
    <row r="18" spans="1:17" ht="15" thickBot="1">
      <c r="A18" s="183" t="s">
        <v>25</v>
      </c>
      <c r="B18" s="179" t="s">
        <v>17</v>
      </c>
      <c r="C18" s="494">
        <v>409</v>
      </c>
      <c r="D18" s="494">
        <v>890</v>
      </c>
      <c r="E18" s="494" t="s">
        <v>304</v>
      </c>
      <c r="F18" s="496">
        <v>0.16</v>
      </c>
      <c r="G18" s="181"/>
      <c r="H18" s="505" t="s">
        <v>185</v>
      </c>
      <c r="I18" s="506">
        <v>144</v>
      </c>
      <c r="J18" s="506">
        <v>653</v>
      </c>
      <c r="K18" s="507">
        <v>1126</v>
      </c>
      <c r="N18" s="500" t="s">
        <v>492</v>
      </c>
      <c r="O18" s="659">
        <f>D38</f>
        <v>1827</v>
      </c>
      <c r="P18" s="659">
        <f>D39</f>
        <v>1689</v>
      </c>
      <c r="Q18" s="659">
        <f>D40</f>
        <v>1317</v>
      </c>
    </row>
    <row r="19" spans="1:17" ht="15" thickBot="1">
      <c r="A19" s="183" t="s">
        <v>25</v>
      </c>
      <c r="B19" s="179" t="s">
        <v>18</v>
      </c>
      <c r="C19" s="495">
        <v>1025</v>
      </c>
      <c r="D19" s="494">
        <v>791</v>
      </c>
      <c r="E19" s="494" t="s">
        <v>305</v>
      </c>
      <c r="F19" s="496">
        <v>0.18</v>
      </c>
      <c r="G19" s="181"/>
      <c r="H19" s="505" t="s">
        <v>186</v>
      </c>
      <c r="I19" s="506">
        <v>139</v>
      </c>
      <c r="J19" s="506">
        <v>564</v>
      </c>
      <c r="K19" s="507">
        <v>1019</v>
      </c>
      <c r="N19" s="501" t="s">
        <v>314</v>
      </c>
      <c r="O19" s="1879">
        <v>452</v>
      </c>
      <c r="P19" s="1879"/>
      <c r="Q19" s="1879"/>
    </row>
    <row r="20" spans="1:17" ht="15" thickBot="1">
      <c r="A20" s="183" t="s">
        <v>25</v>
      </c>
      <c r="B20" s="179" t="s">
        <v>4</v>
      </c>
      <c r="C20" s="495">
        <v>1725</v>
      </c>
      <c r="D20" s="494">
        <v>750</v>
      </c>
      <c r="E20" s="494" t="s">
        <v>306</v>
      </c>
      <c r="F20" s="496">
        <v>0.2</v>
      </c>
      <c r="G20" s="184"/>
      <c r="H20" s="505" t="s">
        <v>187</v>
      </c>
      <c r="I20" s="506">
        <v>152</v>
      </c>
      <c r="J20" s="506">
        <v>500</v>
      </c>
      <c r="K20" s="507">
        <v>1000</v>
      </c>
      <c r="N20" s="1694" t="s">
        <v>315</v>
      </c>
      <c r="O20" s="1694"/>
      <c r="P20" s="1694"/>
      <c r="Q20" s="1694"/>
    </row>
    <row r="21" spans="1:17" s="116" customFormat="1" ht="15" thickBot="1">
      <c r="A21" s="183" t="s">
        <v>25</v>
      </c>
      <c r="B21" s="324" t="s">
        <v>161</v>
      </c>
      <c r="C21" s="495">
        <v>3159</v>
      </c>
      <c r="D21" s="494">
        <v>782</v>
      </c>
      <c r="E21" s="494" t="s">
        <v>307</v>
      </c>
      <c r="F21" s="496">
        <v>0.18</v>
      </c>
      <c r="G21" s="329"/>
      <c r="H21" s="505" t="s">
        <v>188</v>
      </c>
      <c r="I21" s="506">
        <v>143</v>
      </c>
      <c r="J21" s="506">
        <v>547</v>
      </c>
      <c r="K21" s="507">
        <v>1016</v>
      </c>
      <c r="N21" s="500" t="s">
        <v>312</v>
      </c>
      <c r="O21" s="1879">
        <f>D21</f>
        <v>782</v>
      </c>
      <c r="P21" s="1879"/>
      <c r="Q21" s="1879"/>
    </row>
    <row r="22" spans="1:17">
      <c r="N22" s="500" t="s">
        <v>313</v>
      </c>
      <c r="O22" s="1879">
        <f>D32</f>
        <v>744</v>
      </c>
      <c r="P22" s="1879"/>
      <c r="Q22" s="1879"/>
    </row>
    <row r="23" spans="1:17" ht="15" thickBot="1">
      <c r="A23" s="185" t="s">
        <v>204</v>
      </c>
      <c r="N23" s="501" t="s">
        <v>314</v>
      </c>
      <c r="O23" s="1879">
        <v>443</v>
      </c>
      <c r="P23" s="1879"/>
      <c r="Q23" s="1879"/>
    </row>
    <row r="24" spans="1:17" ht="38.4" thickBot="1">
      <c r="A24" s="172" t="s">
        <v>100</v>
      </c>
      <c r="B24" s="173" t="s">
        <v>0</v>
      </c>
      <c r="C24" s="172" t="s">
        <v>34</v>
      </c>
      <c r="D24" s="174" t="s">
        <v>189</v>
      </c>
      <c r="E24" s="172" t="s">
        <v>177</v>
      </c>
      <c r="F24" s="173" t="s">
        <v>178</v>
      </c>
      <c r="G24" s="175"/>
      <c r="H24" s="176" t="s">
        <v>179</v>
      </c>
      <c r="I24" s="176" t="s">
        <v>180</v>
      </c>
      <c r="J24" s="504" t="s">
        <v>324</v>
      </c>
      <c r="K24" s="504" t="s">
        <v>325</v>
      </c>
    </row>
    <row r="25" spans="1:17" ht="15" thickBot="1">
      <c r="A25" s="178" t="s">
        <v>101</v>
      </c>
      <c r="B25" s="179" t="s">
        <v>17</v>
      </c>
      <c r="C25" s="495">
        <v>4076</v>
      </c>
      <c r="D25" s="494">
        <v>783</v>
      </c>
      <c r="E25" s="494" t="s">
        <v>205</v>
      </c>
      <c r="F25" s="496">
        <v>0.13</v>
      </c>
      <c r="G25" s="181"/>
      <c r="H25" s="505" t="s">
        <v>181</v>
      </c>
      <c r="I25" s="506">
        <v>106</v>
      </c>
      <c r="J25" s="506">
        <v>610</v>
      </c>
      <c r="K25" s="506">
        <v>956</v>
      </c>
    </row>
    <row r="26" spans="1:17" ht="15" thickBot="1">
      <c r="A26" s="178" t="s">
        <v>101</v>
      </c>
      <c r="B26" s="179" t="s">
        <v>18</v>
      </c>
      <c r="C26" s="494">
        <v>22</v>
      </c>
      <c r="D26" s="494">
        <v>635</v>
      </c>
      <c r="E26" s="494" t="s">
        <v>206</v>
      </c>
      <c r="F26" s="496">
        <v>0.16</v>
      </c>
      <c r="G26" s="181"/>
      <c r="H26" s="505" t="s">
        <v>182</v>
      </c>
      <c r="I26" s="506">
        <v>105</v>
      </c>
      <c r="J26" s="506">
        <v>463</v>
      </c>
      <c r="K26" s="506">
        <v>806</v>
      </c>
    </row>
    <row r="27" spans="1:17" ht="15" thickBot="1">
      <c r="A27" s="178" t="s">
        <v>101</v>
      </c>
      <c r="B27" s="179" t="s">
        <v>4</v>
      </c>
      <c r="C27" s="495">
        <v>7915</v>
      </c>
      <c r="D27" s="494">
        <v>660</v>
      </c>
      <c r="E27" s="494" t="s">
        <v>207</v>
      </c>
      <c r="F27" s="496">
        <v>0.18</v>
      </c>
      <c r="G27" s="181"/>
      <c r="H27" s="505" t="s">
        <v>183</v>
      </c>
      <c r="I27" s="506">
        <v>120</v>
      </c>
      <c r="J27" s="506">
        <v>463</v>
      </c>
      <c r="K27" s="506">
        <v>857</v>
      </c>
      <c r="L27" s="11"/>
      <c r="M27" s="11"/>
    </row>
    <row r="28" spans="1:17" s="116" customFormat="1" ht="15" thickBot="1">
      <c r="A28" s="178" t="s">
        <v>101</v>
      </c>
      <c r="B28" s="324" t="s">
        <v>161</v>
      </c>
      <c r="C28" s="495">
        <v>12013</v>
      </c>
      <c r="D28" s="494">
        <v>705</v>
      </c>
      <c r="E28" s="494" t="s">
        <v>208</v>
      </c>
      <c r="F28" s="496">
        <v>0.16</v>
      </c>
      <c r="G28" s="326"/>
      <c r="H28" s="505" t="s">
        <v>184</v>
      </c>
      <c r="I28" s="506">
        <v>114</v>
      </c>
      <c r="J28" s="506">
        <v>517</v>
      </c>
      <c r="K28" s="506">
        <v>892</v>
      </c>
      <c r="L28" s="11"/>
      <c r="M28" s="11"/>
      <c r="N28"/>
      <c r="O28"/>
      <c r="P28"/>
      <c r="Q28"/>
    </row>
    <row r="29" spans="1:17" ht="15" thickBot="1">
      <c r="A29" s="183" t="s">
        <v>25</v>
      </c>
      <c r="B29" s="179" t="s">
        <v>17</v>
      </c>
      <c r="C29" s="494">
        <v>233</v>
      </c>
      <c r="D29" s="494">
        <v>869</v>
      </c>
      <c r="E29" s="494" t="s">
        <v>308</v>
      </c>
      <c r="F29" s="496">
        <v>0.19</v>
      </c>
      <c r="G29" s="181"/>
      <c r="H29" s="505" t="s">
        <v>185</v>
      </c>
      <c r="I29" s="506">
        <v>169</v>
      </c>
      <c r="J29" s="506">
        <v>567</v>
      </c>
      <c r="K29" s="507">
        <v>1122</v>
      </c>
      <c r="L29" s="11"/>
      <c r="M29" s="11"/>
      <c r="N29" s="116"/>
      <c r="O29" s="116"/>
      <c r="P29" s="116"/>
      <c r="Q29" s="116"/>
    </row>
    <row r="30" spans="1:17" ht="15" thickBot="1">
      <c r="A30" s="183" t="s">
        <v>25</v>
      </c>
      <c r="B30" s="179" t="s">
        <v>18</v>
      </c>
      <c r="C30" s="494">
        <v>1</v>
      </c>
      <c r="D30" s="494">
        <v>716</v>
      </c>
      <c r="E30" s="494" t="s">
        <v>209</v>
      </c>
      <c r="F30" s="496">
        <v>0.26</v>
      </c>
      <c r="G30" s="181"/>
      <c r="H30" s="505" t="s">
        <v>186</v>
      </c>
      <c r="I30" s="506">
        <v>187</v>
      </c>
      <c r="J30" s="506">
        <v>409</v>
      </c>
      <c r="K30" s="507">
        <v>1024</v>
      </c>
      <c r="L30" s="11"/>
      <c r="M30" s="11"/>
    </row>
    <row r="31" spans="1:17" ht="15" thickBot="1">
      <c r="A31" s="183" t="s">
        <v>25</v>
      </c>
      <c r="B31" s="179" t="s">
        <v>4</v>
      </c>
      <c r="C31" s="494">
        <v>576</v>
      </c>
      <c r="D31" s="494">
        <v>693</v>
      </c>
      <c r="E31" s="494" t="s">
        <v>309</v>
      </c>
      <c r="F31" s="496">
        <v>0.27</v>
      </c>
      <c r="G31" s="184"/>
      <c r="H31" s="505" t="s">
        <v>187</v>
      </c>
      <c r="I31" s="506">
        <v>184</v>
      </c>
      <c r="J31" s="506">
        <v>355</v>
      </c>
      <c r="K31" s="506">
        <v>959</v>
      </c>
      <c r="L31" s="11"/>
      <c r="M31" s="11"/>
    </row>
    <row r="32" spans="1:17" s="116" customFormat="1" ht="15" thickBot="1">
      <c r="A32" s="183" t="s">
        <v>25</v>
      </c>
      <c r="B32" s="324" t="s">
        <v>161</v>
      </c>
      <c r="C32" s="494">
        <v>810</v>
      </c>
      <c r="D32" s="494">
        <v>744</v>
      </c>
      <c r="E32" s="494" t="s">
        <v>310</v>
      </c>
      <c r="F32" s="496">
        <v>0.24</v>
      </c>
      <c r="G32" s="329"/>
      <c r="H32" s="505" t="s">
        <v>188</v>
      </c>
      <c r="I32" s="506">
        <v>178</v>
      </c>
      <c r="J32" s="506">
        <v>402</v>
      </c>
      <c r="K32" s="506">
        <v>985</v>
      </c>
      <c r="L32" s="11"/>
      <c r="M32" s="11"/>
      <c r="N32"/>
      <c r="O32"/>
      <c r="P32"/>
      <c r="Q32"/>
    </row>
    <row r="33" spans="1:17">
      <c r="H33" s="3"/>
      <c r="L33" s="11"/>
      <c r="M33" s="11"/>
      <c r="N33" s="116"/>
      <c r="O33" s="116"/>
      <c r="P33" s="116"/>
      <c r="Q33" s="116"/>
    </row>
    <row r="34" spans="1:17">
      <c r="L34" s="11"/>
      <c r="M34" s="11"/>
      <c r="N34" s="11"/>
      <c r="O34" s="11"/>
    </row>
    <row r="35" spans="1:17">
      <c r="L35" s="11"/>
      <c r="M35" s="11"/>
      <c r="N35" s="11"/>
      <c r="O35" s="11"/>
    </row>
    <row r="36" spans="1:17" ht="15" thickBot="1">
      <c r="A36" t="s">
        <v>493</v>
      </c>
      <c r="L36" s="11"/>
      <c r="M36" s="11"/>
      <c r="N36" s="11"/>
      <c r="O36" s="11"/>
    </row>
    <row r="37" spans="1:17" ht="38.4" thickBot="1">
      <c r="A37" s="699" t="s">
        <v>100</v>
      </c>
      <c r="B37" s="699" t="s">
        <v>0</v>
      </c>
      <c r="C37" s="699" t="s">
        <v>34</v>
      </c>
      <c r="D37" s="700" t="s">
        <v>483</v>
      </c>
      <c r="E37" s="699" t="s">
        <v>177</v>
      </c>
      <c r="F37" s="699" t="s">
        <v>178</v>
      </c>
      <c r="H37" s="504" t="s">
        <v>179</v>
      </c>
      <c r="I37" s="504" t="s">
        <v>180</v>
      </c>
      <c r="J37" s="504" t="s">
        <v>324</v>
      </c>
      <c r="K37" s="504" t="s">
        <v>325</v>
      </c>
      <c r="N37" s="11"/>
      <c r="O37" s="11"/>
    </row>
    <row r="38" spans="1:17" ht="15" thickBot="1">
      <c r="A38" s="493" t="s">
        <v>101</v>
      </c>
      <c r="B38" s="494" t="s">
        <v>17</v>
      </c>
      <c r="C38" s="495">
        <v>50429</v>
      </c>
      <c r="D38" s="495">
        <v>1827</v>
      </c>
      <c r="E38" s="494" t="s">
        <v>484</v>
      </c>
      <c r="F38" s="496">
        <v>0.06</v>
      </c>
      <c r="H38" s="505" t="s">
        <v>181</v>
      </c>
      <c r="I38" s="506">
        <v>70</v>
      </c>
      <c r="J38" s="507">
        <v>1713</v>
      </c>
      <c r="K38" s="507">
        <v>1942</v>
      </c>
    </row>
    <row r="39" spans="1:17" ht="15" thickBot="1">
      <c r="A39" s="493" t="s">
        <v>101</v>
      </c>
      <c r="B39" s="494" t="s">
        <v>18</v>
      </c>
      <c r="C39" s="495">
        <v>181900</v>
      </c>
      <c r="D39" s="495">
        <v>1689</v>
      </c>
      <c r="E39" s="494" t="s">
        <v>485</v>
      </c>
      <c r="F39" s="496">
        <v>7.0000000000000007E-2</v>
      </c>
      <c r="H39" s="505" t="s">
        <v>182</v>
      </c>
      <c r="I39" s="506">
        <v>70</v>
      </c>
      <c r="J39" s="507">
        <v>1574</v>
      </c>
      <c r="K39" s="507">
        <v>1803</v>
      </c>
    </row>
    <row r="40" spans="1:17" ht="15" thickBot="1">
      <c r="A40" s="493" t="s">
        <v>101</v>
      </c>
      <c r="B40" s="494" t="s">
        <v>4</v>
      </c>
      <c r="C40" s="495">
        <v>21517</v>
      </c>
      <c r="D40" s="495">
        <v>1317</v>
      </c>
      <c r="E40" s="494" t="s">
        <v>486</v>
      </c>
      <c r="F40" s="496">
        <v>0.09</v>
      </c>
      <c r="H40" s="505" t="s">
        <v>183</v>
      </c>
      <c r="I40" s="506">
        <v>74</v>
      </c>
      <c r="J40" s="507">
        <v>1195</v>
      </c>
      <c r="K40" s="507">
        <v>1439</v>
      </c>
    </row>
    <row r="41" spans="1:17" ht="15" thickBot="1">
      <c r="A41" s="493" t="s">
        <v>101</v>
      </c>
      <c r="B41" s="494" t="s">
        <v>161</v>
      </c>
      <c r="C41" s="495">
        <v>253846</v>
      </c>
      <c r="D41" s="495">
        <v>1663</v>
      </c>
      <c r="E41" s="494" t="s">
        <v>487</v>
      </c>
      <c r="F41" s="496">
        <v>7.0000000000000007E-2</v>
      </c>
      <c r="H41" s="505" t="s">
        <v>184</v>
      </c>
      <c r="I41" s="506">
        <v>69</v>
      </c>
      <c r="J41" s="507">
        <v>1550</v>
      </c>
      <c r="K41" s="507">
        <v>1777</v>
      </c>
    </row>
    <row r="42" spans="1:17" ht="15" thickBot="1">
      <c r="A42" s="656" t="s">
        <v>25</v>
      </c>
      <c r="B42" s="494" t="s">
        <v>17</v>
      </c>
      <c r="C42" s="495">
        <v>6747</v>
      </c>
      <c r="D42" s="495">
        <v>1878</v>
      </c>
      <c r="E42" s="494" t="s">
        <v>488</v>
      </c>
      <c r="F42" s="496">
        <v>0.11</v>
      </c>
      <c r="H42" s="505" t="s">
        <v>185</v>
      </c>
      <c r="I42" s="506">
        <v>124</v>
      </c>
      <c r="J42" s="507">
        <v>1675</v>
      </c>
      <c r="K42" s="507">
        <v>2081</v>
      </c>
    </row>
    <row r="43" spans="1:17" ht="15" thickBot="1">
      <c r="A43" s="656" t="s">
        <v>25</v>
      </c>
      <c r="B43" s="494" t="s">
        <v>18</v>
      </c>
      <c r="C43" s="495">
        <v>14704</v>
      </c>
      <c r="D43" s="495">
        <v>1451</v>
      </c>
      <c r="E43" s="494" t="s">
        <v>489</v>
      </c>
      <c r="F43" s="496">
        <v>0.14000000000000001</v>
      </c>
      <c r="H43" s="505" t="s">
        <v>186</v>
      </c>
      <c r="I43" s="506">
        <v>126</v>
      </c>
      <c r="J43" s="507">
        <v>1244</v>
      </c>
      <c r="K43" s="507">
        <v>1658</v>
      </c>
    </row>
    <row r="44" spans="1:17" ht="15" thickBot="1">
      <c r="A44" s="656" t="s">
        <v>25</v>
      </c>
      <c r="B44" s="494" t="s">
        <v>4</v>
      </c>
      <c r="C44" s="495">
        <v>2763</v>
      </c>
      <c r="D44" s="495">
        <v>1370</v>
      </c>
      <c r="E44" s="494" t="s">
        <v>490</v>
      </c>
      <c r="F44" s="496">
        <v>0.16</v>
      </c>
      <c r="H44" s="505" t="s">
        <v>187</v>
      </c>
      <c r="I44" s="506">
        <v>136</v>
      </c>
      <c r="J44" s="507">
        <v>1147</v>
      </c>
      <c r="K44" s="507">
        <v>1594</v>
      </c>
    </row>
    <row r="45" spans="1:17" ht="15" thickBot="1">
      <c r="A45" s="656" t="s">
        <v>25</v>
      </c>
      <c r="B45" s="494" t="s">
        <v>161</v>
      </c>
      <c r="C45" s="495">
        <v>24214</v>
      </c>
      <c r="D45" s="495">
        <v>1561</v>
      </c>
      <c r="E45" s="494" t="s">
        <v>491</v>
      </c>
      <c r="F45" s="496">
        <v>0.13</v>
      </c>
      <c r="H45" s="505" t="s">
        <v>188</v>
      </c>
      <c r="I45" s="506">
        <v>124</v>
      </c>
      <c r="J45" s="507">
        <v>1358</v>
      </c>
      <c r="K45" s="507">
        <v>1765</v>
      </c>
    </row>
    <row r="55" spans="1:6" ht="15" thickBot="1">
      <c r="A55" s="916" t="s">
        <v>987</v>
      </c>
    </row>
    <row r="56" spans="1:6" ht="15" customHeight="1">
      <c r="A56" s="1848" t="s">
        <v>986</v>
      </c>
      <c r="B56" s="1849"/>
      <c r="C56" s="1849"/>
      <c r="D56" s="1849"/>
      <c r="E56" s="1849"/>
      <c r="F56" s="1849"/>
    </row>
    <row r="57" spans="1:6" ht="27.6">
      <c r="A57" s="1845" t="s">
        <v>105</v>
      </c>
      <c r="B57" s="1846" t="s">
        <v>106</v>
      </c>
      <c r="C57" s="1846" t="s">
        <v>107</v>
      </c>
      <c r="D57" s="1846" t="s">
        <v>108</v>
      </c>
      <c r="E57" s="1356" t="s">
        <v>109</v>
      </c>
      <c r="F57" s="1356" t="s">
        <v>111</v>
      </c>
    </row>
    <row r="58" spans="1:6" ht="27.6">
      <c r="A58" s="1845"/>
      <c r="B58" s="1846"/>
      <c r="C58" s="1846"/>
      <c r="D58" s="1846"/>
      <c r="E58" s="1356" t="s">
        <v>110</v>
      </c>
      <c r="F58" s="1356" t="s">
        <v>110</v>
      </c>
    </row>
    <row r="59" spans="1:6">
      <c r="A59" s="118">
        <v>123</v>
      </c>
      <c r="B59" s="918">
        <v>8.1606825999999995</v>
      </c>
      <c r="C59" s="918">
        <v>202.54671490000001</v>
      </c>
      <c r="D59" s="918">
        <v>0.58623800000000004</v>
      </c>
      <c r="E59" s="918">
        <v>7.1890285</v>
      </c>
      <c r="F59" s="918">
        <v>9.1323366000000004</v>
      </c>
    </row>
    <row r="61" spans="1:6" ht="15" thickBot="1">
      <c r="A61" s="916" t="s">
        <v>988</v>
      </c>
    </row>
    <row r="62" spans="1:6" ht="15" customHeight="1">
      <c r="A62" s="1848" t="s">
        <v>986</v>
      </c>
      <c r="B62" s="1849"/>
      <c r="C62" s="1849"/>
      <c r="D62" s="1849"/>
      <c r="E62" s="1849"/>
      <c r="F62" s="1849"/>
    </row>
    <row r="63" spans="1:6" ht="27.6">
      <c r="A63" s="1845" t="s">
        <v>105</v>
      </c>
      <c r="B63" s="1846" t="s">
        <v>106</v>
      </c>
      <c r="C63" s="1846" t="s">
        <v>107</v>
      </c>
      <c r="D63" s="1846" t="s">
        <v>108</v>
      </c>
      <c r="E63" s="1356" t="s">
        <v>109</v>
      </c>
      <c r="F63" s="1356" t="s">
        <v>111</v>
      </c>
    </row>
    <row r="64" spans="1:6" ht="27.6">
      <c r="A64" s="1845"/>
      <c r="B64" s="1846"/>
      <c r="C64" s="1846"/>
      <c r="D64" s="1846"/>
      <c r="E64" s="1356" t="s">
        <v>110</v>
      </c>
      <c r="F64" s="1356" t="s">
        <v>110</v>
      </c>
    </row>
    <row r="65" spans="1:6">
      <c r="A65" s="118">
        <v>285</v>
      </c>
      <c r="B65" s="918">
        <v>6.2468271</v>
      </c>
      <c r="C65" s="918">
        <v>166.44070239999999</v>
      </c>
      <c r="D65" s="918">
        <v>0.31027759999999999</v>
      </c>
      <c r="E65" s="918">
        <v>5.7347957000000003</v>
      </c>
      <c r="F65" s="918">
        <v>6.7588584999999997</v>
      </c>
    </row>
    <row r="68" spans="1:6" ht="15" customHeight="1"/>
    <row r="69" spans="1:6" ht="15" thickBot="1">
      <c r="A69" s="916" t="s">
        <v>992</v>
      </c>
    </row>
    <row r="70" spans="1:6" ht="15" customHeight="1">
      <c r="A70" s="1848" t="s">
        <v>986</v>
      </c>
      <c r="B70" s="1849"/>
      <c r="C70" s="1849"/>
      <c r="D70" s="1849"/>
      <c r="E70" s="1849"/>
      <c r="F70" s="1849"/>
    </row>
    <row r="71" spans="1:6" ht="27.6">
      <c r="A71" s="1845" t="s">
        <v>105</v>
      </c>
      <c r="B71" s="1846" t="s">
        <v>106</v>
      </c>
      <c r="C71" s="1846" t="s">
        <v>107</v>
      </c>
      <c r="D71" s="1846" t="s">
        <v>108</v>
      </c>
      <c r="E71" s="1356" t="s">
        <v>109</v>
      </c>
      <c r="F71" s="1356" t="s">
        <v>111</v>
      </c>
    </row>
    <row r="72" spans="1:6" ht="27.6">
      <c r="A72" s="1845"/>
      <c r="B72" s="1846"/>
      <c r="C72" s="1846"/>
      <c r="D72" s="1846"/>
      <c r="E72" s="1356" t="s">
        <v>110</v>
      </c>
      <c r="F72" s="1356" t="s">
        <v>110</v>
      </c>
    </row>
    <row r="73" spans="1:6">
      <c r="A73" s="118">
        <v>17</v>
      </c>
      <c r="B73" s="918">
        <v>9.3898881999999997</v>
      </c>
      <c r="C73" s="918">
        <v>254.99834279999999</v>
      </c>
      <c r="D73" s="918">
        <v>1.9878115999999999</v>
      </c>
      <c r="E73" s="918">
        <v>5.9194003999999998</v>
      </c>
      <c r="F73" s="918">
        <v>12.860376</v>
      </c>
    </row>
    <row r="74" spans="1:6" ht="15" customHeight="1"/>
    <row r="75" spans="1:6" ht="15" thickBot="1">
      <c r="A75" s="916" t="s">
        <v>993</v>
      </c>
    </row>
    <row r="76" spans="1:6" ht="15" customHeight="1">
      <c r="A76" s="1848" t="s">
        <v>986</v>
      </c>
      <c r="B76" s="1849"/>
      <c r="C76" s="1849"/>
      <c r="D76" s="1849"/>
      <c r="E76" s="1849"/>
      <c r="F76" s="1849"/>
    </row>
    <row r="77" spans="1:6" ht="27.6">
      <c r="A77" s="1845" t="s">
        <v>105</v>
      </c>
      <c r="B77" s="1846" t="s">
        <v>106</v>
      </c>
      <c r="C77" s="1846" t="s">
        <v>107</v>
      </c>
      <c r="D77" s="1846" t="s">
        <v>108</v>
      </c>
      <c r="E77" s="1356" t="s">
        <v>109</v>
      </c>
      <c r="F77" s="1356" t="s">
        <v>111</v>
      </c>
    </row>
    <row r="78" spans="1:6" ht="27.6">
      <c r="A78" s="1845"/>
      <c r="B78" s="1846"/>
      <c r="C78" s="1846"/>
      <c r="D78" s="1846"/>
      <c r="E78" s="1356" t="s">
        <v>110</v>
      </c>
      <c r="F78" s="1356" t="s">
        <v>110</v>
      </c>
    </row>
    <row r="79" spans="1:6">
      <c r="A79" s="118">
        <v>30</v>
      </c>
      <c r="B79" s="918">
        <v>5.9499171999999998</v>
      </c>
      <c r="C79" s="918">
        <v>129.7808856</v>
      </c>
      <c r="D79" s="918">
        <v>0.73253590000000002</v>
      </c>
      <c r="E79" s="918">
        <v>4.7052455999999996</v>
      </c>
      <c r="F79" s="918">
        <v>7.1945886999999997</v>
      </c>
    </row>
    <row r="80" spans="1:6" ht="15" customHeight="1"/>
  </sheetData>
  <autoFilter ref="A1:B32"/>
  <customSheetViews>
    <customSheetView guid="{7E8F70E7-08A0-442B-A100-F92E13F1F337}">
      <selection activeCell="D3" sqref="D3"/>
      <pageMargins left="0.7" right="0.7" top="0.75" bottom="0.75" header="0.3" footer="0.3"/>
    </customSheetView>
    <customSheetView guid="{223C1DCA-941C-47FC-83AC-426B3DB3086A}" filter="1" showAutoFilter="1">
      <selection activeCell="B1" sqref="B1"/>
      <pageMargins left="0.7" right="0.7" top="0.75" bottom="0.75" header="0.3" footer="0.3"/>
      <autoFilter ref="A1:B32">
        <filterColumn colId="0">
          <filters>
            <filter val="Freezer"/>
            <filter val="Units Viable as &quot;Free&quot; Units"/>
            <filter val="Units Viable as &quot;Purchased&quot; Units"/>
          </filters>
        </filterColumn>
        <filterColumn colId="1">
          <filters>
            <filter val="SDGE"/>
          </filters>
        </filterColumn>
      </autoFilter>
    </customSheetView>
    <customSheetView guid="{BA0BA4AB-C6A1-41FF-8782-C05227E92BEB}">
      <selection activeCell="D3" sqref="D3"/>
      <pageMargins left="0.7" right="0.7" top="0.75" bottom="0.75" header="0.3" footer="0.3"/>
    </customSheetView>
    <customSheetView guid="{52F27401-6741-4136-9223-9843499AE81D}" showAutoFilter="1">
      <selection activeCell="D38" sqref="D38:D40"/>
      <pageMargins left="0.7" right="0.7" top="0.75" bottom="0.75" header="0.3" footer="0.3"/>
      <pageSetup orientation="portrait" r:id="rId1"/>
      <autoFilter ref="A1:B32"/>
    </customSheetView>
  </customSheetViews>
  <mergeCells count="26">
    <mergeCell ref="A70:F70"/>
    <mergeCell ref="A77:A78"/>
    <mergeCell ref="B77:B78"/>
    <mergeCell ref="C77:C78"/>
    <mergeCell ref="D77:D78"/>
    <mergeCell ref="A71:A72"/>
    <mergeCell ref="B71:B72"/>
    <mergeCell ref="C71:C72"/>
    <mergeCell ref="D71:D72"/>
    <mergeCell ref="A76:F76"/>
    <mergeCell ref="O23:Q23"/>
    <mergeCell ref="N15:Q15"/>
    <mergeCell ref="O19:Q19"/>
    <mergeCell ref="N20:Q20"/>
    <mergeCell ref="O21:Q21"/>
    <mergeCell ref="O22:Q22"/>
    <mergeCell ref="A62:F62"/>
    <mergeCell ref="A63:A64"/>
    <mergeCell ref="B63:B64"/>
    <mergeCell ref="C63:C64"/>
    <mergeCell ref="A56:F56"/>
    <mergeCell ref="A57:A58"/>
    <mergeCell ref="B57:B58"/>
    <mergeCell ref="C57:C58"/>
    <mergeCell ref="D57:D58"/>
    <mergeCell ref="D63:D64"/>
  </mergeCell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"/>
  <sheetViews>
    <sheetView workbookViewId="0">
      <selection activeCell="E24" sqref="E24:E26"/>
    </sheetView>
  </sheetViews>
  <sheetFormatPr defaultRowHeight="14.4"/>
  <cols>
    <col min="1" max="1" width="23.44140625" bestFit="1" customWidth="1"/>
    <col min="2" max="2" width="10.88671875" bestFit="1" customWidth="1"/>
    <col min="3" max="3" width="12.88671875" bestFit="1" customWidth="1"/>
    <col min="4" max="4" width="19" bestFit="1" customWidth="1"/>
    <col min="5" max="5" width="11.6640625" bestFit="1" customWidth="1"/>
    <col min="6" max="6" width="10.5546875" bestFit="1" customWidth="1"/>
    <col min="7" max="7" width="11.6640625" bestFit="1" customWidth="1"/>
    <col min="8" max="8" width="9" bestFit="1" customWidth="1"/>
  </cols>
  <sheetData>
    <row r="1" spans="1:35" s="11" customFormat="1" ht="16.8">
      <c r="A1" s="1882" t="s">
        <v>45</v>
      </c>
      <c r="B1" s="1882"/>
      <c r="C1" s="1882"/>
      <c r="D1" s="11" t="s">
        <v>153</v>
      </c>
    </row>
    <row r="2" spans="1:35" s="11" customFormat="1">
      <c r="A2" s="39" t="s">
        <v>46</v>
      </c>
    </row>
    <row r="3" spans="1:35" ht="15" thickBot="1">
      <c r="A3" s="3"/>
    </row>
    <row r="4" spans="1:35" ht="16.8" thickBot="1">
      <c r="A4" s="1880" t="s">
        <v>33</v>
      </c>
      <c r="B4" s="1881"/>
      <c r="E4" s="2"/>
      <c r="F4" s="37"/>
      <c r="G4" s="2"/>
    </row>
    <row r="5" spans="1:35" ht="29.25" customHeight="1" thickBot="1">
      <c r="A5" s="28" t="s">
        <v>34</v>
      </c>
      <c r="B5" s="29">
        <v>1088</v>
      </c>
      <c r="E5" s="38"/>
      <c r="F5" s="38"/>
      <c r="G5" s="38"/>
      <c r="I5" s="2"/>
    </row>
    <row r="6" spans="1:35" ht="15" thickBot="1">
      <c r="A6" s="28" t="s">
        <v>35</v>
      </c>
      <c r="B6" s="29">
        <v>270379.56400000001</v>
      </c>
      <c r="I6" s="2"/>
    </row>
    <row r="7" spans="1:35">
      <c r="A7" s="30"/>
      <c r="I7" s="2"/>
    </row>
    <row r="8" spans="1:35" ht="15" thickBot="1">
      <c r="A8" s="30" t="s">
        <v>17</v>
      </c>
      <c r="I8" s="2"/>
      <c r="J8" t="s">
        <v>18</v>
      </c>
      <c r="S8" t="s">
        <v>4</v>
      </c>
      <c r="AB8" t="s">
        <v>161</v>
      </c>
    </row>
    <row r="9" spans="1:35" ht="15.75" customHeight="1" thickBot="1">
      <c r="A9" s="168" t="s">
        <v>152</v>
      </c>
      <c r="B9" s="167"/>
      <c r="C9" s="152"/>
      <c r="D9" s="152"/>
      <c r="E9" s="152"/>
      <c r="F9" s="152"/>
      <c r="G9" s="152"/>
      <c r="H9" s="151"/>
      <c r="I9" s="2"/>
      <c r="J9" s="150" t="s">
        <v>152</v>
      </c>
      <c r="K9" s="152"/>
      <c r="L9" s="152"/>
      <c r="M9" s="152"/>
      <c r="N9" s="152"/>
      <c r="O9" s="152"/>
      <c r="P9" s="152"/>
      <c r="Q9" s="151"/>
      <c r="S9" s="150" t="s">
        <v>152</v>
      </c>
      <c r="T9" s="152"/>
      <c r="U9" s="152"/>
      <c r="V9" s="152"/>
      <c r="W9" s="152"/>
      <c r="X9" s="152"/>
      <c r="Y9" s="152"/>
      <c r="Z9" s="151"/>
      <c r="AB9" s="310" t="s">
        <v>152</v>
      </c>
      <c r="AC9" s="312"/>
      <c r="AD9" s="312"/>
      <c r="AE9" s="312"/>
      <c r="AF9" s="312"/>
      <c r="AG9" s="312"/>
      <c r="AH9" s="312"/>
      <c r="AI9" s="311"/>
    </row>
    <row r="10" spans="1:35" ht="28.5" customHeight="1">
      <c r="A10" s="153" t="s">
        <v>1</v>
      </c>
      <c r="B10" s="153" t="s">
        <v>2</v>
      </c>
      <c r="C10" s="31" t="s">
        <v>16</v>
      </c>
      <c r="D10" s="31" t="s">
        <v>82</v>
      </c>
      <c r="E10" s="153" t="s">
        <v>3</v>
      </c>
      <c r="F10" s="31" t="s">
        <v>84</v>
      </c>
      <c r="G10" s="155" t="s">
        <v>85</v>
      </c>
      <c r="H10" s="156"/>
      <c r="I10" s="2"/>
      <c r="J10" s="153" t="s">
        <v>1</v>
      </c>
      <c r="K10" s="153" t="s">
        <v>2</v>
      </c>
      <c r="L10" s="31" t="s">
        <v>16</v>
      </c>
      <c r="M10" s="31" t="s">
        <v>82</v>
      </c>
      <c r="N10" s="153" t="s">
        <v>3</v>
      </c>
      <c r="O10" s="31" t="s">
        <v>84</v>
      </c>
      <c r="P10" s="155" t="s">
        <v>85</v>
      </c>
      <c r="Q10" s="156"/>
      <c r="S10" s="153" t="s">
        <v>1</v>
      </c>
      <c r="T10" s="153" t="s">
        <v>2</v>
      </c>
      <c r="U10" s="31" t="s">
        <v>16</v>
      </c>
      <c r="V10" s="31" t="s">
        <v>82</v>
      </c>
      <c r="W10" s="153" t="s">
        <v>3</v>
      </c>
      <c r="X10" s="31" t="s">
        <v>84</v>
      </c>
      <c r="Y10" s="155" t="s">
        <v>85</v>
      </c>
      <c r="Z10" s="156"/>
      <c r="AB10" s="313" t="s">
        <v>1</v>
      </c>
      <c r="AC10" s="313" t="s">
        <v>2</v>
      </c>
      <c r="AD10" s="31" t="s">
        <v>16</v>
      </c>
      <c r="AE10" s="31" t="s">
        <v>82</v>
      </c>
      <c r="AF10" s="313" t="s">
        <v>3</v>
      </c>
      <c r="AG10" s="31" t="s">
        <v>84</v>
      </c>
      <c r="AH10" s="315" t="s">
        <v>85</v>
      </c>
      <c r="AI10" s="316"/>
    </row>
    <row r="11" spans="1:35" ht="28.2" thickBot="1">
      <c r="A11" s="154"/>
      <c r="B11" s="154"/>
      <c r="C11" s="32" t="s">
        <v>2</v>
      </c>
      <c r="D11" s="32" t="s">
        <v>83</v>
      </c>
      <c r="E11" s="154"/>
      <c r="F11" s="32" t="s">
        <v>3</v>
      </c>
      <c r="G11" s="157" t="s">
        <v>86</v>
      </c>
      <c r="H11" s="158"/>
      <c r="I11" s="2"/>
      <c r="J11" s="154"/>
      <c r="K11" s="154"/>
      <c r="L11" s="32" t="s">
        <v>2</v>
      </c>
      <c r="M11" s="32" t="s">
        <v>83</v>
      </c>
      <c r="N11" s="154"/>
      <c r="O11" s="32" t="s">
        <v>3</v>
      </c>
      <c r="P11" s="157" t="s">
        <v>86</v>
      </c>
      <c r="Q11" s="158"/>
      <c r="S11" s="154"/>
      <c r="T11" s="154"/>
      <c r="U11" s="32" t="s">
        <v>2</v>
      </c>
      <c r="V11" s="32" t="s">
        <v>83</v>
      </c>
      <c r="W11" s="154"/>
      <c r="X11" s="32" t="s">
        <v>3</v>
      </c>
      <c r="Y11" s="157" t="s">
        <v>86</v>
      </c>
      <c r="Z11" s="158"/>
      <c r="AB11" s="314"/>
      <c r="AC11" s="314"/>
      <c r="AD11" s="32" t="s">
        <v>2</v>
      </c>
      <c r="AE11" s="32" t="s">
        <v>83</v>
      </c>
      <c r="AF11" s="314"/>
      <c r="AG11" s="32" t="s">
        <v>3</v>
      </c>
      <c r="AH11" s="317" t="s">
        <v>86</v>
      </c>
      <c r="AI11" s="318"/>
    </row>
    <row r="12" spans="1:35" ht="15" thickBot="1">
      <c r="A12" s="32">
        <v>0</v>
      </c>
      <c r="B12" s="33">
        <v>200</v>
      </c>
      <c r="C12" s="33">
        <v>47128</v>
      </c>
      <c r="D12" s="33">
        <v>1418</v>
      </c>
      <c r="E12" s="166">
        <v>85.852199999999996</v>
      </c>
      <c r="F12" s="33">
        <v>2.2999999999999998</v>
      </c>
      <c r="G12" s="33">
        <v>82.054000000000002</v>
      </c>
      <c r="H12" s="29">
        <v>89.650400000000005</v>
      </c>
      <c r="I12" s="2"/>
      <c r="J12" s="32">
        <v>0</v>
      </c>
      <c r="K12" s="33">
        <v>536</v>
      </c>
      <c r="L12" s="33">
        <v>144735</v>
      </c>
      <c r="M12" s="33">
        <v>3357</v>
      </c>
      <c r="N12" s="166">
        <v>82.283500000000004</v>
      </c>
      <c r="O12" s="33">
        <v>1.5362</v>
      </c>
      <c r="P12" s="33">
        <v>79.753100000000003</v>
      </c>
      <c r="Q12" s="29">
        <v>84.813900000000004</v>
      </c>
      <c r="S12" s="32">
        <v>0</v>
      </c>
      <c r="T12" s="33">
        <v>180</v>
      </c>
      <c r="U12" s="33">
        <v>35302</v>
      </c>
      <c r="V12" s="33">
        <v>1044</v>
      </c>
      <c r="W12" s="166">
        <v>89.175700000000006</v>
      </c>
      <c r="X12" s="33">
        <v>2.2690000000000001</v>
      </c>
      <c r="Y12" s="33">
        <v>85.426199999999994</v>
      </c>
      <c r="Z12" s="29">
        <v>92.925200000000004</v>
      </c>
      <c r="AB12" s="32">
        <v>0</v>
      </c>
      <c r="AC12" s="33">
        <v>916</v>
      </c>
      <c r="AD12" s="33">
        <v>227165</v>
      </c>
      <c r="AE12" s="33">
        <v>3833</v>
      </c>
      <c r="AF12" s="166">
        <v>84.017200000000003</v>
      </c>
      <c r="AG12" s="987">
        <v>1.1528E-2</v>
      </c>
      <c r="AH12" s="33">
        <v>82.119399999999999</v>
      </c>
      <c r="AI12" s="29">
        <v>85.914900000000003</v>
      </c>
    </row>
    <row r="13" spans="1:35" ht="15" thickBot="1">
      <c r="A13" s="32">
        <v>1</v>
      </c>
      <c r="B13" s="33">
        <v>34</v>
      </c>
      <c r="C13" s="33">
        <v>7766</v>
      </c>
      <c r="D13" s="33">
        <v>1261</v>
      </c>
      <c r="E13" s="166">
        <v>14.1478</v>
      </c>
      <c r="F13" s="33">
        <v>2.2999999999999998</v>
      </c>
      <c r="G13" s="33">
        <v>10.349600000000001</v>
      </c>
      <c r="H13" s="29">
        <v>17.946000000000002</v>
      </c>
      <c r="I13" s="2"/>
      <c r="J13" s="32">
        <v>1</v>
      </c>
      <c r="K13" s="33">
        <v>117</v>
      </c>
      <c r="L13" s="33">
        <v>31163</v>
      </c>
      <c r="M13" s="33">
        <v>2699</v>
      </c>
      <c r="N13" s="166">
        <v>17.7165</v>
      </c>
      <c r="O13" s="33">
        <v>1.5362</v>
      </c>
      <c r="P13" s="33">
        <v>15.1861</v>
      </c>
      <c r="Q13" s="29">
        <v>20.2469</v>
      </c>
      <c r="S13" s="32">
        <v>1</v>
      </c>
      <c r="T13" s="33">
        <v>21</v>
      </c>
      <c r="U13" s="33">
        <v>4285</v>
      </c>
      <c r="V13" s="33">
        <v>902.71447999999998</v>
      </c>
      <c r="W13" s="166">
        <v>10.824299999999999</v>
      </c>
      <c r="X13" s="33">
        <v>2.2690000000000001</v>
      </c>
      <c r="Y13" s="33">
        <v>7.0747999999999998</v>
      </c>
      <c r="Z13" s="29">
        <v>14.5738</v>
      </c>
      <c r="AB13" s="32">
        <v>1</v>
      </c>
      <c r="AC13" s="33">
        <v>172</v>
      </c>
      <c r="AD13" s="33">
        <v>43214</v>
      </c>
      <c r="AE13" s="33">
        <v>3130</v>
      </c>
      <c r="AF13" s="166">
        <v>15.982799999999999</v>
      </c>
      <c r="AG13" s="987">
        <v>1.1528E-2</v>
      </c>
      <c r="AH13" s="33">
        <v>14.085100000000001</v>
      </c>
      <c r="AI13" s="29">
        <v>17.880600000000001</v>
      </c>
    </row>
    <row r="14" spans="1:35" ht="15" thickBot="1">
      <c r="A14" s="34" t="s">
        <v>5</v>
      </c>
      <c r="B14" s="35">
        <v>234</v>
      </c>
      <c r="C14" s="35">
        <v>54894</v>
      </c>
      <c r="D14" s="35">
        <v>677.10401999999999</v>
      </c>
      <c r="E14" s="35">
        <v>100</v>
      </c>
      <c r="F14" s="35"/>
      <c r="G14" s="35"/>
      <c r="H14" s="35"/>
      <c r="I14" s="2"/>
      <c r="J14" s="34" t="s">
        <v>5</v>
      </c>
      <c r="K14" s="35">
        <v>653</v>
      </c>
      <c r="L14" s="35">
        <v>175898</v>
      </c>
      <c r="M14" s="35">
        <v>2171</v>
      </c>
      <c r="N14" s="35">
        <v>100</v>
      </c>
      <c r="O14" s="35"/>
      <c r="P14" s="35"/>
      <c r="Q14" s="35"/>
      <c r="S14" s="34" t="s">
        <v>5</v>
      </c>
      <c r="T14" s="35">
        <v>201</v>
      </c>
      <c r="U14" s="35">
        <v>39587</v>
      </c>
      <c r="V14" s="35">
        <v>625.57866000000001</v>
      </c>
      <c r="W14" s="35">
        <v>100</v>
      </c>
      <c r="X14" s="35"/>
      <c r="Y14" s="35"/>
      <c r="Z14" s="35"/>
      <c r="AB14" s="34" t="s">
        <v>5</v>
      </c>
      <c r="AC14" s="35">
        <v>1088</v>
      </c>
      <c r="AD14" s="35">
        <v>270380</v>
      </c>
      <c r="AE14" s="35">
        <v>2534</v>
      </c>
      <c r="AF14" s="35">
        <v>100</v>
      </c>
      <c r="AG14" s="35"/>
      <c r="AH14" s="35"/>
      <c r="AI14" s="35"/>
    </row>
    <row r="15" spans="1:35">
      <c r="A15" s="11"/>
      <c r="B15" s="11"/>
      <c r="C15" s="11"/>
      <c r="D15" s="11"/>
      <c r="E15" s="11"/>
      <c r="F15" s="11"/>
      <c r="G15" s="11"/>
      <c r="H15" s="11"/>
      <c r="I15" s="2"/>
    </row>
    <row r="16" spans="1:35">
      <c r="I16" s="2"/>
    </row>
    <row r="17" spans="1:35" ht="15" thickBot="1">
      <c r="A17" s="30"/>
      <c r="I17" s="2"/>
    </row>
    <row r="18" spans="1:35" ht="15" thickBot="1">
      <c r="A18" s="30"/>
      <c r="I18" s="2"/>
      <c r="S18" s="1848"/>
      <c r="T18" s="1849"/>
      <c r="U18" s="1849"/>
      <c r="V18" s="1849"/>
      <c r="W18" s="1849"/>
      <c r="X18" s="1849"/>
      <c r="Y18" s="1849"/>
      <c r="Z18" s="1849"/>
      <c r="AB18" s="1848"/>
      <c r="AC18" s="1849"/>
      <c r="AD18" s="1849"/>
      <c r="AE18" s="1849"/>
      <c r="AF18" s="1849"/>
      <c r="AG18" s="1849"/>
      <c r="AH18" s="1849"/>
      <c r="AI18" s="1849"/>
    </row>
    <row r="19" spans="1:35" ht="15" thickBot="1">
      <c r="A19" s="1880" t="s">
        <v>6</v>
      </c>
      <c r="B19" s="1881"/>
      <c r="I19" s="2"/>
      <c r="K19" s="1848"/>
      <c r="L19" s="1849"/>
      <c r="M19" s="1849"/>
      <c r="N19" s="1849"/>
      <c r="O19" s="1849"/>
      <c r="P19" s="1849"/>
      <c r="Q19" s="1849"/>
      <c r="R19" s="1849"/>
      <c r="S19" s="1845"/>
      <c r="T19" s="1846"/>
      <c r="U19" s="322"/>
      <c r="V19" s="322"/>
      <c r="W19" s="1846"/>
      <c r="X19" s="322"/>
      <c r="Y19" s="1846"/>
      <c r="Z19" s="1846"/>
      <c r="AB19" s="1845"/>
      <c r="AC19" s="1846"/>
      <c r="AD19" s="322"/>
      <c r="AE19" s="322"/>
      <c r="AF19" s="1846"/>
      <c r="AG19" s="322"/>
      <c r="AH19" s="1846"/>
      <c r="AI19" s="1846"/>
    </row>
    <row r="20" spans="1:35" ht="15" thickBot="1">
      <c r="A20" s="28" t="s">
        <v>7</v>
      </c>
      <c r="B20" s="29">
        <v>503.59890000000001</v>
      </c>
      <c r="I20" s="2"/>
      <c r="K20" s="1845"/>
      <c r="L20" s="1846"/>
      <c r="M20" s="322"/>
      <c r="N20" s="322"/>
      <c r="O20" s="1846"/>
      <c r="P20" s="322"/>
      <c r="Q20" s="1846"/>
      <c r="R20" s="1846"/>
      <c r="S20" s="1845"/>
      <c r="T20" s="1846"/>
      <c r="U20" s="322"/>
      <c r="V20" s="322"/>
      <c r="W20" s="1846"/>
      <c r="X20" s="322"/>
      <c r="Y20" s="1846"/>
      <c r="Z20" s="1846"/>
      <c r="AB20" s="1845"/>
      <c r="AC20" s="1846"/>
      <c r="AD20" s="322"/>
      <c r="AE20" s="322"/>
      <c r="AF20" s="1846"/>
      <c r="AG20" s="322"/>
      <c r="AH20" s="1846"/>
      <c r="AI20" s="1846"/>
    </row>
    <row r="21" spans="1:35" ht="15" thickBot="1">
      <c r="A21" s="28" t="s">
        <v>8</v>
      </c>
      <c r="B21" s="29">
        <v>1.0757000000000001</v>
      </c>
      <c r="I21" s="2"/>
      <c r="K21" s="1845"/>
      <c r="L21" s="1846"/>
      <c r="M21" s="322"/>
      <c r="N21" s="322"/>
      <c r="O21" s="1846"/>
      <c r="P21" s="322"/>
      <c r="Q21" s="1846"/>
      <c r="R21" s="1846"/>
      <c r="S21" s="321"/>
      <c r="T21" s="79"/>
      <c r="U21" s="79"/>
      <c r="V21" s="79"/>
      <c r="W21" s="79"/>
      <c r="X21" s="79"/>
      <c r="Y21" s="79"/>
      <c r="Z21" s="79"/>
      <c r="AB21" s="321"/>
      <c r="AC21" s="79"/>
      <c r="AD21" s="79"/>
      <c r="AE21" s="79"/>
      <c r="AF21" s="79"/>
      <c r="AG21" s="79"/>
      <c r="AH21" s="79"/>
      <c r="AI21" s="79"/>
    </row>
    <row r="22" spans="1:35" ht="15" thickBot="1">
      <c r="A22" s="28"/>
      <c r="B22" s="29"/>
      <c r="K22" s="321"/>
      <c r="L22" s="79"/>
      <c r="M22" s="79"/>
      <c r="N22" s="79"/>
      <c r="O22" s="79"/>
      <c r="P22" s="79"/>
      <c r="Q22" s="79"/>
      <c r="R22" s="79"/>
      <c r="S22" s="321"/>
      <c r="T22" s="79"/>
      <c r="U22" s="79"/>
      <c r="V22" s="79"/>
      <c r="W22" s="79"/>
      <c r="X22" s="79"/>
      <c r="Y22" s="79"/>
      <c r="Z22" s="79"/>
      <c r="AB22" s="321"/>
      <c r="AC22" s="79"/>
      <c r="AD22" s="79"/>
      <c r="AE22" s="79"/>
      <c r="AF22" s="79"/>
      <c r="AG22" s="79"/>
      <c r="AH22" s="79"/>
      <c r="AI22" s="79"/>
    </row>
    <row r="23" spans="1:35" ht="15" thickBot="1">
      <c r="A23" s="28" t="s">
        <v>9</v>
      </c>
      <c r="B23" s="29">
        <v>468.15379999999999</v>
      </c>
      <c r="D23" s="827" t="s">
        <v>253</v>
      </c>
      <c r="E23" s="844" t="s">
        <v>594</v>
      </c>
      <c r="F23" s="844" t="s">
        <v>31</v>
      </c>
      <c r="G23" s="824" t="s">
        <v>32</v>
      </c>
      <c r="K23" s="321"/>
      <c r="L23" s="79"/>
      <c r="M23" s="79"/>
      <c r="N23" s="79"/>
      <c r="O23" s="79"/>
      <c r="P23" s="79"/>
      <c r="Q23" s="79"/>
      <c r="R23" s="79"/>
      <c r="S23" s="321"/>
      <c r="T23" s="79"/>
      <c r="U23" s="79"/>
      <c r="V23" s="79"/>
      <c r="W23" s="79"/>
      <c r="X23" s="79"/>
      <c r="Y23" s="79"/>
      <c r="Z23" s="79"/>
      <c r="AB23" s="321"/>
      <c r="AC23" s="79"/>
      <c r="AD23" s="79"/>
      <c r="AE23" s="79"/>
      <c r="AF23" s="79"/>
      <c r="AG23" s="79"/>
      <c r="AH23" s="79"/>
      <c r="AI23" s="79"/>
    </row>
    <row r="24" spans="1:35" ht="15" thickBot="1">
      <c r="A24" s="28" t="s">
        <v>10</v>
      </c>
      <c r="B24" s="29">
        <v>1</v>
      </c>
      <c r="D24" s="426" t="s">
        <v>17</v>
      </c>
      <c r="E24" s="1097">
        <f>B14</f>
        <v>234</v>
      </c>
      <c r="F24" s="427">
        <f>E13/100</f>
        <v>0.14147799999999999</v>
      </c>
      <c r="G24" s="427">
        <f>E12/100</f>
        <v>0.85852200000000001</v>
      </c>
      <c r="K24" s="321"/>
      <c r="L24" s="79"/>
      <c r="M24" s="79"/>
      <c r="N24" s="79"/>
      <c r="O24" s="79"/>
      <c r="P24" s="79"/>
      <c r="Q24" s="79"/>
      <c r="R24" s="79"/>
      <c r="S24" s="78"/>
    </row>
    <row r="25" spans="1:35" ht="15" thickBot="1">
      <c r="A25" s="28" t="s">
        <v>11</v>
      </c>
      <c r="B25" s="29" t="s">
        <v>42</v>
      </c>
      <c r="D25" s="426" t="s">
        <v>18</v>
      </c>
      <c r="E25" s="1097">
        <f>K14</f>
        <v>653</v>
      </c>
      <c r="F25" s="427">
        <f>N13/100</f>
        <v>0.17716499999999999</v>
      </c>
      <c r="G25" s="427">
        <f>N12/100</f>
        <v>0.82283499999999998</v>
      </c>
      <c r="S25" s="395"/>
    </row>
    <row r="26" spans="1:35" ht="15" thickBot="1">
      <c r="A26" s="28"/>
      <c r="B26" s="29"/>
      <c r="D26" s="426" t="s">
        <v>4</v>
      </c>
      <c r="E26" s="1097">
        <f>T14</f>
        <v>201</v>
      </c>
      <c r="F26" s="427">
        <f>W13/100</f>
        <v>0.10824299999999999</v>
      </c>
      <c r="G26" s="427">
        <f>W12/100</f>
        <v>0.89175700000000002</v>
      </c>
    </row>
    <row r="27" spans="1:35" ht="15" thickBot="1">
      <c r="A27" s="28" t="s">
        <v>12</v>
      </c>
      <c r="B27" s="29">
        <v>468.15379999999999</v>
      </c>
    </row>
    <row r="28" spans="1:35" ht="15" thickBot="1">
      <c r="A28" s="28" t="s">
        <v>13</v>
      </c>
      <c r="B28" s="29">
        <v>1</v>
      </c>
    </row>
    <row r="29" spans="1:35" ht="15" thickBot="1">
      <c r="A29" s="28" t="s">
        <v>14</v>
      </c>
      <c r="B29" s="29">
        <v>1087</v>
      </c>
    </row>
    <row r="30" spans="1:35" ht="15" thickBot="1">
      <c r="A30" s="28" t="s">
        <v>15</v>
      </c>
      <c r="B30" s="29" t="s">
        <v>42</v>
      </c>
    </row>
    <row r="31" spans="1:35" ht="15" thickBot="1">
      <c r="A31" s="1880" t="s">
        <v>43</v>
      </c>
      <c r="B31" s="1881"/>
    </row>
    <row r="32" spans="1:35" ht="15" thickBot="1">
      <c r="A32" s="36"/>
    </row>
    <row r="33" spans="1:35" ht="15" thickBot="1">
      <c r="A33" s="1880" t="s">
        <v>33</v>
      </c>
      <c r="B33" s="1881"/>
    </row>
    <row r="34" spans="1:35" ht="15" thickBot="1">
      <c r="A34" s="28" t="s">
        <v>34</v>
      </c>
      <c r="B34" s="29">
        <v>140</v>
      </c>
    </row>
    <row r="35" spans="1:35" ht="15" thickBot="1">
      <c r="A35" s="28" t="s">
        <v>35</v>
      </c>
      <c r="B35" s="29">
        <v>27080.95</v>
      </c>
    </row>
    <row r="36" spans="1:35">
      <c r="A36" s="30"/>
    </row>
    <row r="37" spans="1:35" s="11" customFormat="1" ht="6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1:35" s="11" customFormat="1">
      <c r="A38" s="39" t="s">
        <v>47</v>
      </c>
    </row>
    <row r="39" spans="1:35" ht="15" thickBot="1">
      <c r="A39" s="30"/>
    </row>
    <row r="40" spans="1:35" ht="15" thickBot="1">
      <c r="A40" s="1880" t="s">
        <v>36</v>
      </c>
      <c r="B40" s="1883"/>
      <c r="C40" s="1883"/>
      <c r="D40" s="1883"/>
      <c r="E40" s="1883"/>
      <c r="F40" s="1883"/>
      <c r="G40" s="1883"/>
      <c r="H40" s="1881"/>
    </row>
    <row r="41" spans="1:35" ht="28.5" customHeight="1">
      <c r="A41" s="1884" t="s">
        <v>1</v>
      </c>
      <c r="B41" s="1884" t="s">
        <v>2</v>
      </c>
      <c r="C41" s="31" t="s">
        <v>16</v>
      </c>
      <c r="D41" s="31" t="s">
        <v>37</v>
      </c>
      <c r="E41" s="1884" t="s">
        <v>3</v>
      </c>
      <c r="F41" s="31" t="s">
        <v>39</v>
      </c>
      <c r="G41" s="1886" t="s">
        <v>40</v>
      </c>
      <c r="H41" s="1887"/>
    </row>
    <row r="42" spans="1:35" ht="15" thickBot="1">
      <c r="A42" s="1885"/>
      <c r="B42" s="1885"/>
      <c r="C42" s="32" t="s">
        <v>2</v>
      </c>
      <c r="D42" s="32" t="s">
        <v>38</v>
      </c>
      <c r="E42" s="1885"/>
      <c r="F42" s="32" t="s">
        <v>3</v>
      </c>
      <c r="G42" s="1888" t="s">
        <v>41</v>
      </c>
      <c r="H42" s="1889"/>
    </row>
    <row r="43" spans="1:35" ht="15" thickBot="1">
      <c r="A43" s="32">
        <v>0</v>
      </c>
      <c r="B43" s="33">
        <v>120</v>
      </c>
      <c r="C43" s="33">
        <v>22746</v>
      </c>
      <c r="D43" s="33">
        <v>1378</v>
      </c>
      <c r="E43" s="33">
        <v>83.994</v>
      </c>
      <c r="F43" s="33">
        <v>3.5116999999999998</v>
      </c>
      <c r="G43" s="33">
        <v>78.179000000000002</v>
      </c>
      <c r="H43" s="29">
        <v>89.808999999999997</v>
      </c>
    </row>
    <row r="44" spans="1:35" ht="15" thickBot="1">
      <c r="A44" s="32">
        <v>1</v>
      </c>
      <c r="B44" s="33">
        <v>20</v>
      </c>
      <c r="C44" s="33">
        <v>4335</v>
      </c>
      <c r="D44" s="33">
        <v>970.88986999999997</v>
      </c>
      <c r="E44" s="33">
        <v>16.006</v>
      </c>
      <c r="F44" s="33">
        <v>3.5116999999999998</v>
      </c>
      <c r="G44" s="33">
        <v>10.191000000000001</v>
      </c>
      <c r="H44" s="29">
        <v>21.821000000000002</v>
      </c>
    </row>
    <row r="45" spans="1:35" ht="15" thickBot="1">
      <c r="A45" s="34"/>
      <c r="B45" s="35"/>
      <c r="C45" s="35"/>
      <c r="D45" s="35"/>
      <c r="E45" s="35"/>
      <c r="F45" s="35"/>
      <c r="G45" s="35"/>
      <c r="H45" s="35"/>
    </row>
    <row r="46" spans="1:35" ht="15" thickBot="1">
      <c r="A46" s="32" t="s">
        <v>5</v>
      </c>
      <c r="B46" s="33">
        <v>140</v>
      </c>
      <c r="C46" s="33">
        <v>27081</v>
      </c>
      <c r="D46" s="33">
        <v>1193</v>
      </c>
      <c r="E46" s="33">
        <v>100</v>
      </c>
      <c r="F46" s="33"/>
      <c r="G46" s="33"/>
      <c r="H46" s="29"/>
    </row>
    <row r="48" spans="1:35">
      <c r="A48" s="30"/>
    </row>
    <row r="49" spans="1:2" ht="15" thickBot="1">
      <c r="A49" s="30"/>
    </row>
    <row r="50" spans="1:2" ht="15" thickBot="1">
      <c r="A50" s="1880" t="s">
        <v>6</v>
      </c>
      <c r="B50" s="1881"/>
    </row>
    <row r="51" spans="1:2" ht="15" thickBot="1">
      <c r="A51" s="28" t="s">
        <v>7</v>
      </c>
      <c r="B51" s="29">
        <v>64.713099999999997</v>
      </c>
    </row>
    <row r="52" spans="1:2" ht="15" thickBot="1">
      <c r="A52" s="28" t="s">
        <v>8</v>
      </c>
      <c r="B52" s="29">
        <v>1.2749999999999999</v>
      </c>
    </row>
    <row r="53" spans="1:2" ht="15" thickBot="1">
      <c r="A53" s="28"/>
      <c r="B53" s="29"/>
    </row>
    <row r="54" spans="1:2" ht="15" thickBot="1">
      <c r="A54" s="28" t="s">
        <v>9</v>
      </c>
      <c r="B54" s="29">
        <v>50.753999999999998</v>
      </c>
    </row>
    <row r="55" spans="1:2" ht="15" thickBot="1">
      <c r="A55" s="28" t="s">
        <v>10</v>
      </c>
      <c r="B55" s="29">
        <v>1</v>
      </c>
    </row>
    <row r="56" spans="1:2" ht="15" thickBot="1">
      <c r="A56" s="28" t="s">
        <v>11</v>
      </c>
      <c r="B56" s="29" t="s">
        <v>42</v>
      </c>
    </row>
    <row r="57" spans="1:2" ht="15" thickBot="1">
      <c r="A57" s="28"/>
      <c r="B57" s="29"/>
    </row>
    <row r="58" spans="1:2" ht="15" thickBot="1">
      <c r="A58" s="28" t="s">
        <v>12</v>
      </c>
      <c r="B58" s="29">
        <v>50.753999999999998</v>
      </c>
    </row>
    <row r="59" spans="1:2" ht="15" thickBot="1">
      <c r="A59" s="28" t="s">
        <v>13</v>
      </c>
      <c r="B59" s="29">
        <v>1</v>
      </c>
    </row>
    <row r="60" spans="1:2" ht="15" thickBot="1">
      <c r="A60" s="28" t="s">
        <v>14</v>
      </c>
      <c r="B60" s="29">
        <v>139</v>
      </c>
    </row>
    <row r="61" spans="1:2" ht="15" thickBot="1">
      <c r="A61" s="28" t="s">
        <v>15</v>
      </c>
      <c r="B61" s="29" t="s">
        <v>42</v>
      </c>
    </row>
    <row r="62" spans="1:2" ht="15" thickBot="1">
      <c r="A62" s="1880" t="s">
        <v>44</v>
      </c>
      <c r="B62" s="1881"/>
    </row>
    <row r="67" spans="1:8" ht="15" thickBot="1"/>
    <row r="68" spans="1:8" ht="15" customHeight="1">
      <c r="A68" s="1848"/>
      <c r="B68" s="1849"/>
      <c r="C68" s="1849"/>
      <c r="D68" s="1849"/>
      <c r="E68" s="1849"/>
      <c r="F68" s="1849"/>
      <c r="G68" s="1849"/>
      <c r="H68" s="1849"/>
    </row>
    <row r="69" spans="1:8" ht="30" customHeight="1">
      <c r="A69" s="1845"/>
      <c r="B69" s="1846"/>
      <c r="C69" s="322"/>
      <c r="D69" s="322"/>
      <c r="E69" s="1846"/>
      <c r="F69" s="322"/>
      <c r="G69" s="1846"/>
      <c r="H69" s="1846"/>
    </row>
    <row r="70" spans="1:8" ht="15" customHeight="1">
      <c r="A70" s="1845"/>
      <c r="B70" s="1846"/>
      <c r="C70" s="322"/>
      <c r="D70" s="322"/>
      <c r="E70" s="1846"/>
      <c r="F70" s="322"/>
      <c r="G70" s="1846"/>
      <c r="H70" s="1846"/>
    </row>
    <row r="71" spans="1:8">
      <c r="A71" s="321"/>
      <c r="B71" s="79"/>
      <c r="C71" s="79"/>
      <c r="D71" s="79"/>
      <c r="E71" s="79"/>
      <c r="F71" s="79"/>
      <c r="G71" s="79"/>
      <c r="H71" s="79"/>
    </row>
    <row r="72" spans="1:8">
      <c r="A72" s="321"/>
      <c r="B72" s="79"/>
      <c r="C72" s="79"/>
      <c r="D72" s="79"/>
      <c r="E72" s="79"/>
      <c r="F72" s="79"/>
      <c r="G72" s="79"/>
      <c r="H72" s="79"/>
    </row>
    <row r="73" spans="1:8">
      <c r="A73" s="321"/>
      <c r="B73" s="79"/>
      <c r="C73" s="79"/>
      <c r="D73" s="79"/>
      <c r="E73" s="79"/>
      <c r="F73" s="79"/>
      <c r="G73" s="79"/>
      <c r="H73" s="79"/>
    </row>
  </sheetData>
  <customSheetViews>
    <customSheetView guid="{7E8F70E7-08A0-442B-A100-F92E13F1F337}" topLeftCell="B19">
      <selection activeCell="F23" sqref="F23"/>
      <pageMargins left="0.7" right="0.7" top="0.75" bottom="0.75" header="0.3" footer="0.3"/>
    </customSheetView>
    <customSheetView guid="{223C1DCA-941C-47FC-83AC-426B3DB3086A}">
      <selection activeCell="AI37" sqref="A37:AI37"/>
      <pageMargins left="0.7" right="0.7" top="0.75" bottom="0.75" header="0.3" footer="0.3"/>
    </customSheetView>
    <customSheetView guid="{BA0BA4AB-C6A1-41FF-8782-C05227E92BEB}" topLeftCell="A19">
      <selection activeCell="F23" sqref="F23"/>
      <pageMargins left="0.7" right="0.7" top="0.75" bottom="0.75" header="0.3" footer="0.3"/>
    </customSheetView>
    <customSheetView guid="{52F27401-6741-4136-9223-9843499AE81D}" topLeftCell="C1">
      <selection activeCell="W12" sqref="W12"/>
      <pageMargins left="0.7" right="0.7" top="0.75" bottom="0.75" header="0.3" footer="0.3"/>
    </customSheetView>
  </customSheetViews>
  <mergeCells count="37">
    <mergeCell ref="AB18:AI18"/>
    <mergeCell ref="AB19:AB20"/>
    <mergeCell ref="AC19:AC20"/>
    <mergeCell ref="AF19:AF20"/>
    <mergeCell ref="AH19:AI19"/>
    <mergeCell ref="AH20:AI20"/>
    <mergeCell ref="S18:Z18"/>
    <mergeCell ref="S19:S20"/>
    <mergeCell ref="T19:T20"/>
    <mergeCell ref="W19:W20"/>
    <mergeCell ref="Y19:Z19"/>
    <mergeCell ref="Y20:Z20"/>
    <mergeCell ref="K19:R19"/>
    <mergeCell ref="K20:K21"/>
    <mergeCell ref="L20:L21"/>
    <mergeCell ref="O20:O21"/>
    <mergeCell ref="Q20:R20"/>
    <mergeCell ref="Q21:R21"/>
    <mergeCell ref="A68:H68"/>
    <mergeCell ref="A69:A70"/>
    <mergeCell ref="B69:B70"/>
    <mergeCell ref="E69:E70"/>
    <mergeCell ref="G69:H69"/>
    <mergeCell ref="G70:H70"/>
    <mergeCell ref="A50:B50"/>
    <mergeCell ref="A62:B62"/>
    <mergeCell ref="A1:C1"/>
    <mergeCell ref="A40:H40"/>
    <mergeCell ref="A41:A42"/>
    <mergeCell ref="B41:B42"/>
    <mergeCell ref="E41:E42"/>
    <mergeCell ref="G41:H41"/>
    <mergeCell ref="G42:H42"/>
    <mergeCell ref="A4:B4"/>
    <mergeCell ref="A19:B19"/>
    <mergeCell ref="A31:B31"/>
    <mergeCell ref="A33:B3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opLeftCell="E12" workbookViewId="0">
      <selection activeCell="F12" sqref="F12"/>
    </sheetView>
  </sheetViews>
  <sheetFormatPr defaultRowHeight="14.4"/>
  <cols>
    <col min="1" max="1" width="24.88671875" customWidth="1"/>
    <col min="2" max="2" width="11.5546875" customWidth="1"/>
    <col min="3" max="3" width="12.88671875" customWidth="1"/>
    <col min="4" max="4" width="15.5546875" customWidth="1"/>
    <col min="6" max="6" width="13.5546875" customWidth="1"/>
    <col min="7" max="7" width="13.6640625" customWidth="1"/>
    <col min="8" max="8" width="11.88671875" customWidth="1"/>
    <col min="15" max="15" width="12.109375" customWidth="1"/>
    <col min="16" max="16" width="14.33203125" customWidth="1"/>
    <col min="24" max="24" width="12.109375" customWidth="1"/>
    <col min="25" max="25" width="12.88671875" customWidth="1"/>
  </cols>
  <sheetData>
    <row r="1" spans="1:36" ht="15" customHeight="1">
      <c r="A1" s="1848"/>
      <c r="B1" s="1849"/>
      <c r="C1" s="1849"/>
      <c r="D1" s="1849"/>
      <c r="E1" s="1849"/>
      <c r="F1" s="1849"/>
      <c r="G1" s="1849"/>
      <c r="H1" s="1849"/>
      <c r="J1" s="1848"/>
      <c r="K1" s="1849"/>
      <c r="L1" s="1849"/>
      <c r="M1" s="1849"/>
      <c r="N1" s="1849"/>
      <c r="O1" s="1849"/>
      <c r="P1" s="1849"/>
      <c r="Q1" s="1849"/>
      <c r="S1" s="1848"/>
      <c r="T1" s="1849"/>
      <c r="U1" s="1849"/>
      <c r="V1" s="1849"/>
      <c r="W1" s="1849"/>
      <c r="X1" s="1849"/>
      <c r="Y1" s="1849"/>
      <c r="Z1" s="1849"/>
    </row>
    <row r="2" spans="1:36" ht="30" customHeight="1">
      <c r="A2" s="1845"/>
      <c r="B2" s="1846"/>
      <c r="C2" s="322"/>
      <c r="D2" s="322"/>
      <c r="E2" s="1846"/>
      <c r="F2" s="322"/>
      <c r="G2" s="1846"/>
      <c r="H2" s="1846"/>
      <c r="J2" s="1845"/>
      <c r="K2" s="1846"/>
      <c r="L2" s="322"/>
      <c r="M2" s="322"/>
      <c r="N2" s="1846"/>
      <c r="O2" s="322"/>
      <c r="P2" s="1846"/>
      <c r="Q2" s="1846"/>
      <c r="S2" s="1845"/>
      <c r="T2" s="1846"/>
      <c r="U2" s="322"/>
      <c r="V2" s="322"/>
      <c r="W2" s="1846"/>
      <c r="X2" s="322"/>
      <c r="Y2" s="1846"/>
      <c r="Z2" s="1846"/>
    </row>
    <row r="3" spans="1:36" ht="15" customHeight="1">
      <c r="A3" s="1845"/>
      <c r="B3" s="1846"/>
      <c r="C3" s="322"/>
      <c r="D3" s="322"/>
      <c r="E3" s="1846"/>
      <c r="F3" s="322"/>
      <c r="G3" s="1846"/>
      <c r="H3" s="1846"/>
      <c r="J3" s="1845"/>
      <c r="K3" s="1846"/>
      <c r="L3" s="322"/>
      <c r="M3" s="322"/>
      <c r="N3" s="1846"/>
      <c r="O3" s="322"/>
      <c r="P3" s="1846"/>
      <c r="Q3" s="1846"/>
      <c r="S3" s="1845"/>
      <c r="T3" s="1846"/>
      <c r="U3" s="322"/>
      <c r="V3" s="322"/>
      <c r="W3" s="1846"/>
      <c r="X3" s="322"/>
      <c r="Y3" s="1846"/>
      <c r="Z3" s="1846"/>
    </row>
    <row r="4" spans="1:36" ht="14.4" customHeight="1">
      <c r="A4" s="321"/>
      <c r="B4" s="79"/>
      <c r="C4" s="79"/>
      <c r="D4" s="79"/>
      <c r="E4" s="79"/>
      <c r="F4" s="79"/>
      <c r="G4" s="79"/>
      <c r="H4" s="79"/>
      <c r="J4" s="321"/>
      <c r="K4" s="79"/>
      <c r="L4" s="79"/>
      <c r="M4" s="79"/>
      <c r="N4" s="79"/>
      <c r="O4" s="79"/>
      <c r="P4" s="79"/>
      <c r="Q4" s="79"/>
      <c r="S4" s="321"/>
      <c r="T4" s="79"/>
      <c r="U4" s="79"/>
      <c r="V4" s="79"/>
      <c r="W4" s="79"/>
      <c r="X4" s="79"/>
      <c r="Y4" s="79"/>
      <c r="Z4" s="79"/>
    </row>
    <row r="5" spans="1:36" ht="57.75" customHeight="1">
      <c r="A5" s="321"/>
      <c r="B5" s="79"/>
      <c r="C5" s="79"/>
      <c r="D5" s="79"/>
      <c r="E5" s="79"/>
      <c r="F5" s="79"/>
      <c r="G5" s="79"/>
      <c r="H5" s="79"/>
      <c r="J5" s="321"/>
      <c r="K5" s="79"/>
      <c r="L5" s="79"/>
      <c r="M5" s="79"/>
      <c r="N5" s="79"/>
      <c r="O5" s="79"/>
      <c r="P5" s="79"/>
      <c r="Q5" s="79"/>
      <c r="S5" s="321"/>
      <c r="T5" s="79"/>
      <c r="U5" s="79"/>
      <c r="V5" s="79"/>
      <c r="W5" s="79"/>
      <c r="X5" s="79"/>
      <c r="Y5" s="79"/>
      <c r="Z5" s="79"/>
    </row>
    <row r="6" spans="1:36" ht="29.25" customHeight="1">
      <c r="A6" s="321"/>
      <c r="B6" s="79"/>
      <c r="C6" s="79"/>
      <c r="D6" s="79"/>
      <c r="E6" s="79"/>
      <c r="F6" s="79"/>
      <c r="G6" s="79"/>
      <c r="H6" s="79"/>
      <c r="J6" s="321"/>
      <c r="K6" s="79"/>
      <c r="L6" s="79"/>
      <c r="M6" s="79"/>
      <c r="N6" s="79"/>
      <c r="O6" s="79"/>
      <c r="P6" s="79"/>
      <c r="Q6" s="79"/>
      <c r="S6" s="321"/>
      <c r="T6" s="79"/>
      <c r="U6" s="79"/>
      <c r="V6" s="79"/>
      <c r="W6" s="79"/>
      <c r="X6" s="79"/>
      <c r="Y6" s="79"/>
      <c r="Z6" s="79"/>
    </row>
    <row r="7" spans="1:36" ht="15" customHeight="1">
      <c r="A7" s="1845"/>
      <c r="B7" s="1847"/>
      <c r="C7" s="1847"/>
      <c r="D7" s="1847"/>
      <c r="E7" s="1847"/>
      <c r="F7" s="1847"/>
      <c r="G7" s="1847"/>
      <c r="H7" s="1847"/>
      <c r="J7" s="1845"/>
      <c r="K7" s="1847"/>
      <c r="L7" s="1847"/>
      <c r="M7" s="1847"/>
      <c r="N7" s="1847"/>
      <c r="O7" s="1847"/>
      <c r="P7" s="1847"/>
      <c r="Q7" s="1847"/>
      <c r="S7" s="1845"/>
      <c r="T7" s="1847"/>
      <c r="U7" s="1847"/>
      <c r="V7" s="1847"/>
      <c r="W7" s="1847"/>
      <c r="X7" s="1847"/>
      <c r="Y7" s="1847"/>
      <c r="Z7" s="1847"/>
    </row>
    <row r="8" spans="1:36" ht="15" thickBot="1">
      <c r="A8" s="30" t="s">
        <v>158</v>
      </c>
      <c r="J8" t="s">
        <v>159</v>
      </c>
      <c r="S8" t="s">
        <v>160</v>
      </c>
      <c r="AC8" t="s">
        <v>161</v>
      </c>
    </row>
    <row r="9" spans="1:36" ht="55.8" thickBot="1">
      <c r="A9" s="150" t="s">
        <v>50</v>
      </c>
      <c r="B9" s="152"/>
      <c r="C9" s="152"/>
      <c r="D9" s="152"/>
      <c r="E9" s="152"/>
      <c r="F9" s="152"/>
      <c r="G9" s="152"/>
      <c r="H9" s="151"/>
      <c r="J9" s="150" t="s">
        <v>50</v>
      </c>
      <c r="K9" s="152"/>
      <c r="L9" s="152"/>
      <c r="M9" s="152"/>
      <c r="N9" s="152"/>
      <c r="O9" s="152"/>
      <c r="P9" s="152"/>
      <c r="Q9" s="151"/>
      <c r="S9" s="150" t="s">
        <v>50</v>
      </c>
      <c r="T9" s="152"/>
      <c r="U9" s="152"/>
      <c r="V9" s="152"/>
      <c r="W9" s="152"/>
      <c r="X9" s="152"/>
      <c r="Y9" s="152"/>
      <c r="Z9" s="151"/>
      <c r="AC9" s="806" t="s">
        <v>50</v>
      </c>
      <c r="AD9" s="808"/>
      <c r="AE9" s="808"/>
      <c r="AF9" s="808"/>
      <c r="AG9" s="808"/>
      <c r="AH9" s="808"/>
      <c r="AI9" s="808"/>
      <c r="AJ9" s="807"/>
    </row>
    <row r="10" spans="1:36" ht="55.2">
      <c r="A10" s="153" t="s">
        <v>51</v>
      </c>
      <c r="B10" s="153" t="s">
        <v>2</v>
      </c>
      <c r="C10" s="31" t="s">
        <v>16</v>
      </c>
      <c r="D10" s="31" t="s">
        <v>82</v>
      </c>
      <c r="E10" s="153" t="s">
        <v>3</v>
      </c>
      <c r="F10" s="31" t="s">
        <v>84</v>
      </c>
      <c r="G10" s="155" t="s">
        <v>85</v>
      </c>
      <c r="H10" s="156"/>
      <c r="J10" s="153" t="s">
        <v>51</v>
      </c>
      <c r="K10" s="153" t="s">
        <v>2</v>
      </c>
      <c r="L10" s="31" t="s">
        <v>16</v>
      </c>
      <c r="M10" s="31" t="s">
        <v>82</v>
      </c>
      <c r="N10" s="153" t="s">
        <v>3</v>
      </c>
      <c r="O10" s="31" t="s">
        <v>84</v>
      </c>
      <c r="P10" s="155" t="s">
        <v>85</v>
      </c>
      <c r="Q10" s="156"/>
      <c r="S10" s="153" t="s">
        <v>51</v>
      </c>
      <c r="T10" s="153" t="s">
        <v>2</v>
      </c>
      <c r="U10" s="31" t="s">
        <v>16</v>
      </c>
      <c r="V10" s="31" t="s">
        <v>82</v>
      </c>
      <c r="W10" s="153" t="s">
        <v>3</v>
      </c>
      <c r="X10" s="31" t="s">
        <v>84</v>
      </c>
      <c r="Y10" s="155" t="s">
        <v>85</v>
      </c>
      <c r="Z10" s="156"/>
      <c r="AC10" s="809" t="s">
        <v>229</v>
      </c>
      <c r="AD10" s="809" t="s">
        <v>2</v>
      </c>
      <c r="AE10" s="31" t="s">
        <v>16</v>
      </c>
      <c r="AF10" s="31" t="s">
        <v>82</v>
      </c>
      <c r="AG10" s="809" t="s">
        <v>3</v>
      </c>
      <c r="AH10" s="31" t="s">
        <v>84</v>
      </c>
      <c r="AI10" s="811" t="s">
        <v>85</v>
      </c>
      <c r="AJ10" s="812"/>
    </row>
    <row r="11" spans="1:36" ht="28.2" thickBot="1">
      <c r="A11" s="154"/>
      <c r="B11" s="154"/>
      <c r="C11" s="32" t="s">
        <v>2</v>
      </c>
      <c r="D11" s="32" t="s">
        <v>83</v>
      </c>
      <c r="E11" s="154"/>
      <c r="F11" s="32" t="s">
        <v>3</v>
      </c>
      <c r="G11" s="157" t="s">
        <v>86</v>
      </c>
      <c r="H11" s="158"/>
      <c r="J11" s="154"/>
      <c r="K11" s="154"/>
      <c r="L11" s="32" t="s">
        <v>2</v>
      </c>
      <c r="M11" s="32" t="s">
        <v>83</v>
      </c>
      <c r="N11" s="154"/>
      <c r="O11" s="32" t="s">
        <v>3</v>
      </c>
      <c r="P11" s="157" t="s">
        <v>86</v>
      </c>
      <c r="Q11" s="158"/>
      <c r="S11" s="154"/>
      <c r="T11" s="154"/>
      <c r="U11" s="32" t="s">
        <v>2</v>
      </c>
      <c r="V11" s="32" t="s">
        <v>83</v>
      </c>
      <c r="W11" s="154"/>
      <c r="X11" s="32" t="s">
        <v>3</v>
      </c>
      <c r="Y11" s="157" t="s">
        <v>86</v>
      </c>
      <c r="Z11" s="158"/>
      <c r="AC11" s="810"/>
      <c r="AD11" s="810"/>
      <c r="AE11" s="32" t="s">
        <v>2</v>
      </c>
      <c r="AF11" s="32" t="s">
        <v>83</v>
      </c>
      <c r="AG11" s="810"/>
      <c r="AH11" s="32" t="s">
        <v>3</v>
      </c>
      <c r="AI11" s="813" t="s">
        <v>86</v>
      </c>
      <c r="AJ11" s="814"/>
    </row>
    <row r="12" spans="1:36" ht="15" thickBot="1">
      <c r="A12" s="32">
        <v>0</v>
      </c>
      <c r="B12" s="33">
        <v>7</v>
      </c>
      <c r="C12" s="33">
        <v>1704</v>
      </c>
      <c r="D12" s="33">
        <v>584.51714000000004</v>
      </c>
      <c r="E12" s="166">
        <v>21.9374</v>
      </c>
      <c r="F12" s="33">
        <v>7.4238999999999997</v>
      </c>
      <c r="G12" s="33">
        <v>9.3734999999999999</v>
      </c>
      <c r="H12" s="29">
        <v>34.501399999999997</v>
      </c>
      <c r="J12" s="32">
        <v>0</v>
      </c>
      <c r="K12" s="33">
        <v>14</v>
      </c>
      <c r="L12" s="33">
        <v>3933</v>
      </c>
      <c r="M12" s="33">
        <v>1006</v>
      </c>
      <c r="N12" s="166">
        <v>12.619199999999999</v>
      </c>
      <c r="O12" s="33">
        <v>3.2044000000000001</v>
      </c>
      <c r="P12" s="33">
        <v>7.306</v>
      </c>
      <c r="Q12" s="29">
        <v>17.932300000000001</v>
      </c>
      <c r="S12" s="32">
        <v>0</v>
      </c>
      <c r="T12" s="33">
        <v>3</v>
      </c>
      <c r="U12" s="33">
        <v>589.14026999999999</v>
      </c>
      <c r="V12" s="33">
        <v>323.80801000000002</v>
      </c>
      <c r="W12" s="166">
        <v>13.748799999999999</v>
      </c>
      <c r="X12" s="33">
        <v>7.6162000000000001</v>
      </c>
      <c r="Y12" s="33">
        <v>0.61299999999999999</v>
      </c>
      <c r="Z12" s="29">
        <v>26.884699999999999</v>
      </c>
      <c r="AC12" s="32">
        <v>0</v>
      </c>
      <c r="AD12" s="33">
        <v>24</v>
      </c>
      <c r="AE12" s="33">
        <v>6225</v>
      </c>
      <c r="AF12" s="33">
        <v>1205</v>
      </c>
      <c r="AG12" s="166">
        <v>14.405799999999999</v>
      </c>
      <c r="AH12" s="987">
        <v>2.7723000000000001E-2</v>
      </c>
      <c r="AI12" s="33">
        <v>9.8209</v>
      </c>
      <c r="AJ12" s="29">
        <v>18.9908</v>
      </c>
    </row>
    <row r="13" spans="1:36" ht="15" thickBot="1">
      <c r="A13" s="32">
        <v>1</v>
      </c>
      <c r="B13" s="33">
        <v>27</v>
      </c>
      <c r="C13" s="33">
        <v>6063</v>
      </c>
      <c r="D13" s="33">
        <v>594.75576000000001</v>
      </c>
      <c r="E13" s="166">
        <v>78.062600000000003</v>
      </c>
      <c r="F13" s="33">
        <v>7.4238999999999997</v>
      </c>
      <c r="G13" s="33">
        <v>65.498599999999996</v>
      </c>
      <c r="H13" s="29">
        <v>90.626499999999993</v>
      </c>
      <c r="J13" s="32">
        <v>1</v>
      </c>
      <c r="K13" s="33">
        <v>103</v>
      </c>
      <c r="L13" s="33">
        <v>27231</v>
      </c>
      <c r="M13" s="33">
        <v>1139</v>
      </c>
      <c r="N13" s="166">
        <v>87.380799999999994</v>
      </c>
      <c r="O13" s="33">
        <v>3.2044000000000001</v>
      </c>
      <c r="P13" s="33">
        <v>82.067700000000002</v>
      </c>
      <c r="Q13" s="29">
        <v>92.694000000000003</v>
      </c>
      <c r="S13" s="32">
        <v>1</v>
      </c>
      <c r="T13" s="33">
        <v>18</v>
      </c>
      <c r="U13" s="33">
        <v>3696</v>
      </c>
      <c r="V13" s="33">
        <v>376.98106000000001</v>
      </c>
      <c r="W13" s="166">
        <v>86.251199999999997</v>
      </c>
      <c r="X13" s="33">
        <v>7.6162000000000001</v>
      </c>
      <c r="Y13" s="33">
        <v>73.115300000000005</v>
      </c>
      <c r="Z13" s="29">
        <v>99.387</v>
      </c>
      <c r="AC13" s="32">
        <v>1</v>
      </c>
      <c r="AD13" s="33">
        <v>148</v>
      </c>
      <c r="AE13" s="33">
        <v>36989</v>
      </c>
      <c r="AF13" s="33">
        <v>1375</v>
      </c>
      <c r="AG13" s="166">
        <v>85.594200000000001</v>
      </c>
      <c r="AH13" s="987">
        <v>2.7723000000000001E-2</v>
      </c>
      <c r="AI13" s="33">
        <v>81.009200000000007</v>
      </c>
      <c r="AJ13" s="29">
        <v>90.179100000000005</v>
      </c>
    </row>
    <row r="14" spans="1:36" ht="15" thickBot="1">
      <c r="A14" s="34" t="s">
        <v>5</v>
      </c>
      <c r="B14" s="35">
        <v>34</v>
      </c>
      <c r="C14" s="35">
        <v>7766</v>
      </c>
      <c r="D14" s="35">
        <v>263.43040999999999</v>
      </c>
      <c r="E14" s="35">
        <v>100</v>
      </c>
      <c r="F14" s="35"/>
      <c r="G14" s="35"/>
      <c r="H14" s="35"/>
      <c r="J14" s="34" t="s">
        <v>5</v>
      </c>
      <c r="K14" s="35">
        <v>117</v>
      </c>
      <c r="L14" s="35">
        <v>31163</v>
      </c>
      <c r="M14" s="35">
        <v>680.12072000000001</v>
      </c>
      <c r="N14" s="35">
        <v>100</v>
      </c>
      <c r="O14" s="35"/>
      <c r="P14" s="35"/>
      <c r="Q14" s="35"/>
      <c r="S14" s="34" t="s">
        <v>5</v>
      </c>
      <c r="T14" s="35">
        <v>21</v>
      </c>
      <c r="U14" s="35">
        <v>4285</v>
      </c>
      <c r="V14" s="35">
        <v>170.95858999999999</v>
      </c>
      <c r="W14" s="35">
        <v>100</v>
      </c>
      <c r="X14" s="35"/>
      <c r="Y14" s="35"/>
      <c r="Z14" s="35"/>
      <c r="AC14" s="34" t="s">
        <v>5</v>
      </c>
      <c r="AD14" s="35">
        <v>172</v>
      </c>
      <c r="AE14" s="35">
        <v>43214</v>
      </c>
      <c r="AF14" s="35">
        <v>805.45541000000003</v>
      </c>
      <c r="AG14" s="35">
        <v>100</v>
      </c>
      <c r="AH14" s="35"/>
      <c r="AI14" s="35"/>
      <c r="AJ14" s="35"/>
    </row>
    <row r="15" spans="1:36" ht="15" customHeight="1">
      <c r="A15" s="30" t="s">
        <v>231</v>
      </c>
      <c r="B15" s="11"/>
      <c r="C15" s="11"/>
      <c r="D15" s="11"/>
      <c r="E15" s="11"/>
      <c r="F15" s="11"/>
      <c r="G15" s="11"/>
      <c r="H15" s="11"/>
      <c r="J15" t="s">
        <v>232</v>
      </c>
      <c r="S15" t="s">
        <v>233</v>
      </c>
      <c r="AC15" s="916" t="s">
        <v>230</v>
      </c>
      <c r="AD15" s="916"/>
      <c r="AE15" s="916"/>
      <c r="AF15" s="916"/>
      <c r="AG15" s="916"/>
      <c r="AH15" s="916"/>
      <c r="AI15" s="916"/>
      <c r="AJ15" s="916"/>
    </row>
    <row r="17" spans="1:38" ht="15" thickBot="1">
      <c r="A17" s="30"/>
    </row>
    <row r="18" spans="1:38" ht="15" customHeight="1">
      <c r="A18" s="30"/>
      <c r="AE18" s="1848"/>
      <c r="AF18" s="1849"/>
      <c r="AG18" s="1849"/>
      <c r="AH18" s="1849"/>
      <c r="AI18" s="1849"/>
      <c r="AJ18" s="1849"/>
      <c r="AK18" s="1849"/>
      <c r="AL18" s="1849"/>
    </row>
    <row r="19" spans="1:38" ht="30" customHeight="1">
      <c r="A19" s="11"/>
      <c r="B19" s="11"/>
      <c r="G19" t="s">
        <v>116</v>
      </c>
      <c r="AE19" s="1845"/>
      <c r="AF19" s="1846"/>
      <c r="AG19" s="322"/>
      <c r="AH19" s="322"/>
      <c r="AI19" s="1846"/>
      <c r="AJ19" s="322"/>
      <c r="AK19" s="1846"/>
      <c r="AL19" s="1846"/>
    </row>
    <row r="20" spans="1:38" ht="43.5" customHeight="1">
      <c r="A20" s="11"/>
      <c r="B20" s="11"/>
      <c r="G20" s="77" t="s">
        <v>103</v>
      </c>
      <c r="AE20" s="1845"/>
      <c r="AF20" s="1846"/>
      <c r="AG20" s="322"/>
      <c r="AH20" s="322"/>
      <c r="AI20" s="1846"/>
      <c r="AJ20" s="322"/>
      <c r="AK20" s="1846"/>
      <c r="AL20" s="1846"/>
    </row>
    <row r="21" spans="1:38" ht="15" thickBot="1">
      <c r="A21" s="426" t="s">
        <v>253</v>
      </c>
      <c r="B21" s="426" t="s">
        <v>132</v>
      </c>
      <c r="C21" s="426" t="s">
        <v>49</v>
      </c>
      <c r="G21" s="78" t="s">
        <v>155</v>
      </c>
      <c r="N21" s="78" t="s">
        <v>156</v>
      </c>
      <c r="U21" t="s">
        <v>157</v>
      </c>
      <c r="AC21" t="s">
        <v>235</v>
      </c>
      <c r="AE21" s="321"/>
      <c r="AF21" s="79"/>
      <c r="AG21" s="79"/>
      <c r="AH21" s="79"/>
      <c r="AI21" s="79"/>
      <c r="AJ21" s="79"/>
      <c r="AK21" s="79"/>
      <c r="AL21" s="79"/>
    </row>
    <row r="22" spans="1:38" ht="15.75" customHeight="1">
      <c r="A22" s="426" t="s">
        <v>17</v>
      </c>
      <c r="B22" s="427">
        <f>E13/100</f>
        <v>0.78062600000000004</v>
      </c>
      <c r="C22" s="427">
        <f>E12/100</f>
        <v>0.21937400000000001</v>
      </c>
      <c r="G22" s="1848" t="s">
        <v>104</v>
      </c>
      <c r="H22" s="1849"/>
      <c r="I22" s="1849"/>
      <c r="J22" s="1849"/>
      <c r="K22" s="1849"/>
      <c r="L22" s="1849"/>
      <c r="N22" s="1848" t="s">
        <v>104</v>
      </c>
      <c r="O22" s="1849"/>
      <c r="P22" s="1849"/>
      <c r="Q22" s="1849"/>
      <c r="R22" s="1849"/>
      <c r="S22" s="1849"/>
      <c r="U22" s="1848" t="s">
        <v>104</v>
      </c>
      <c r="V22" s="1849"/>
      <c r="W22" s="1849"/>
      <c r="X22" s="1849"/>
      <c r="Y22" s="1849"/>
      <c r="Z22" s="1849"/>
      <c r="AC22" s="319" t="s">
        <v>104</v>
      </c>
      <c r="AD22" s="320"/>
      <c r="AE22" s="320"/>
      <c r="AF22" s="320"/>
      <c r="AG22" s="320"/>
      <c r="AH22" s="320"/>
      <c r="AI22" s="79"/>
      <c r="AJ22" s="79"/>
      <c r="AK22" s="79"/>
      <c r="AL22" s="79"/>
    </row>
    <row r="23" spans="1:38" ht="27.6">
      <c r="A23" s="426" t="s">
        <v>18</v>
      </c>
      <c r="B23" s="427">
        <f>N13/100</f>
        <v>0.87380799999999992</v>
      </c>
      <c r="C23" s="427">
        <f>N12/100</f>
        <v>0.126192</v>
      </c>
      <c r="G23" s="1845" t="s">
        <v>105</v>
      </c>
      <c r="H23" s="1846" t="s">
        <v>106</v>
      </c>
      <c r="I23" s="1846" t="s">
        <v>107</v>
      </c>
      <c r="J23" s="1846" t="s">
        <v>108</v>
      </c>
      <c r="K23" s="160" t="s">
        <v>109</v>
      </c>
      <c r="L23" s="160" t="s">
        <v>111</v>
      </c>
      <c r="N23" s="1845" t="s">
        <v>105</v>
      </c>
      <c r="O23" s="1846" t="s">
        <v>106</v>
      </c>
      <c r="P23" s="1846" t="s">
        <v>107</v>
      </c>
      <c r="Q23" s="1846" t="s">
        <v>108</v>
      </c>
      <c r="R23" s="160" t="s">
        <v>109</v>
      </c>
      <c r="S23" s="160" t="s">
        <v>111</v>
      </c>
      <c r="U23" s="1845" t="s">
        <v>105</v>
      </c>
      <c r="V23" s="1846" t="s">
        <v>106</v>
      </c>
      <c r="W23" s="1846" t="s">
        <v>107</v>
      </c>
      <c r="X23" s="1846" t="s">
        <v>108</v>
      </c>
      <c r="Y23" s="160" t="s">
        <v>109</v>
      </c>
      <c r="Z23" s="160" t="s">
        <v>111</v>
      </c>
      <c r="AC23" s="1845" t="s">
        <v>105</v>
      </c>
      <c r="AD23" s="1846" t="s">
        <v>106</v>
      </c>
      <c r="AE23" s="1846" t="s">
        <v>107</v>
      </c>
      <c r="AF23" s="1846" t="s">
        <v>108</v>
      </c>
      <c r="AG23" s="322" t="s">
        <v>109</v>
      </c>
      <c r="AH23" s="322" t="s">
        <v>111</v>
      </c>
      <c r="AI23" s="79"/>
      <c r="AJ23" s="79"/>
      <c r="AK23" s="79"/>
      <c r="AL23" s="79"/>
    </row>
    <row r="24" spans="1:38" ht="27.6">
      <c r="A24" s="426" t="s">
        <v>4</v>
      </c>
      <c r="B24" s="427">
        <f>W13/100</f>
        <v>0.86251199999999995</v>
      </c>
      <c r="C24" s="427">
        <f>W12/100</f>
        <v>0.137488</v>
      </c>
      <c r="G24" s="1845"/>
      <c r="H24" s="1846"/>
      <c r="I24" s="1846"/>
      <c r="J24" s="1846"/>
      <c r="K24" s="160" t="s">
        <v>110</v>
      </c>
      <c r="L24" s="160" t="s">
        <v>110</v>
      </c>
      <c r="N24" s="1845"/>
      <c r="O24" s="1846"/>
      <c r="P24" s="1846"/>
      <c r="Q24" s="1846"/>
      <c r="R24" s="160" t="s">
        <v>110</v>
      </c>
      <c r="S24" s="160" t="s">
        <v>110</v>
      </c>
      <c r="U24" s="1845"/>
      <c r="V24" s="1846"/>
      <c r="W24" s="1846"/>
      <c r="X24" s="1846"/>
      <c r="Y24" s="160" t="s">
        <v>110</v>
      </c>
      <c r="Z24" s="160" t="s">
        <v>110</v>
      </c>
      <c r="AC24" s="1845"/>
      <c r="AD24" s="1846"/>
      <c r="AE24" s="1846"/>
      <c r="AF24" s="1846"/>
      <c r="AG24" s="322" t="s">
        <v>110</v>
      </c>
      <c r="AH24" s="322" t="s">
        <v>110</v>
      </c>
      <c r="AI24" s="323"/>
      <c r="AJ24" s="323"/>
      <c r="AK24" s="323"/>
      <c r="AL24" s="323"/>
    </row>
    <row r="25" spans="1:38" ht="15" customHeight="1">
      <c r="A25" s="11"/>
      <c r="B25" s="11"/>
      <c r="G25" s="118">
        <v>51</v>
      </c>
      <c r="H25" s="79">
        <v>0.90680879999999997</v>
      </c>
      <c r="I25" s="79">
        <v>3.7546555000000001</v>
      </c>
      <c r="J25" s="79">
        <v>3.5229200000000002E-2</v>
      </c>
      <c r="K25" s="79">
        <v>0.84776810000000002</v>
      </c>
      <c r="L25" s="79">
        <v>0.96584959999999997</v>
      </c>
      <c r="N25" s="118">
        <v>166</v>
      </c>
      <c r="O25" s="79">
        <v>0.96779020000000004</v>
      </c>
      <c r="P25" s="79">
        <v>2.3520118000000001</v>
      </c>
      <c r="Q25" s="79">
        <v>1.12687E-2</v>
      </c>
      <c r="R25" s="79">
        <v>0.94915020000000005</v>
      </c>
      <c r="S25" s="79">
        <v>0.98643009999999998</v>
      </c>
      <c r="U25" s="118">
        <v>58</v>
      </c>
      <c r="V25" s="79">
        <v>0.95104949999999999</v>
      </c>
      <c r="W25" s="79">
        <v>2.3384963000000001</v>
      </c>
      <c r="X25" s="79">
        <v>2.2906200000000002E-2</v>
      </c>
      <c r="Y25" s="79">
        <v>0.91274960000000005</v>
      </c>
      <c r="Z25" s="79">
        <v>0.98934929999999999</v>
      </c>
      <c r="AC25" s="118">
        <v>275</v>
      </c>
      <c r="AD25" s="79">
        <v>0.95451989999999998</v>
      </c>
      <c r="AE25" s="79">
        <v>2.6766136</v>
      </c>
      <c r="AF25" s="79">
        <v>1.0470699999999999E-2</v>
      </c>
      <c r="AG25" s="79">
        <v>0.93723869999999998</v>
      </c>
      <c r="AH25" s="79">
        <v>0.97180109999999997</v>
      </c>
    </row>
    <row r="26" spans="1:38">
      <c r="A26" s="11"/>
      <c r="B26" s="11"/>
    </row>
    <row r="27" spans="1:38">
      <c r="A27" s="11"/>
      <c r="B27" s="11"/>
    </row>
    <row r="28" spans="1:38">
      <c r="A28" s="11"/>
      <c r="B28" s="11"/>
      <c r="G28" s="11" t="s">
        <v>114</v>
      </c>
    </row>
    <row r="29" spans="1:38">
      <c r="A29" s="11"/>
      <c r="B29" s="11"/>
      <c r="G29" s="77" t="s">
        <v>103</v>
      </c>
    </row>
    <row r="30" spans="1:38" ht="15" thickBot="1">
      <c r="A30" s="11"/>
      <c r="B30" s="11"/>
      <c r="G30" s="78"/>
    </row>
    <row r="31" spans="1:38" ht="15.75" customHeight="1">
      <c r="A31" s="11"/>
      <c r="B31" s="11"/>
      <c r="G31" s="1848" t="s">
        <v>104</v>
      </c>
      <c r="H31" s="1849"/>
      <c r="I31" s="1849"/>
      <c r="J31" s="1849"/>
      <c r="K31" s="1849"/>
      <c r="L31" s="1849"/>
    </row>
    <row r="32" spans="1:38" ht="27.6">
      <c r="G32" s="1845" t="s">
        <v>105</v>
      </c>
      <c r="H32" s="1846" t="s">
        <v>106</v>
      </c>
      <c r="I32" s="1846" t="s">
        <v>107</v>
      </c>
      <c r="J32" s="1846" t="s">
        <v>108</v>
      </c>
      <c r="K32" s="133" t="s">
        <v>109</v>
      </c>
      <c r="L32" s="133" t="s">
        <v>111</v>
      </c>
    </row>
    <row r="33" spans="1:35" ht="27.6">
      <c r="G33" s="1845"/>
      <c r="H33" s="1846"/>
      <c r="I33" s="1846"/>
      <c r="J33" s="1846"/>
      <c r="K33" s="133" t="s">
        <v>110</v>
      </c>
      <c r="L33" s="133" t="s">
        <v>110</v>
      </c>
    </row>
    <row r="34" spans="1:35">
      <c r="G34" s="118">
        <v>1052</v>
      </c>
      <c r="H34" s="79">
        <v>0.97411650000000005</v>
      </c>
      <c r="I34" s="79">
        <v>2.3366631999999998</v>
      </c>
      <c r="J34" s="79">
        <v>4.5628999999999999E-3</v>
      </c>
      <c r="K34" s="79">
        <v>0.96660460000000004</v>
      </c>
      <c r="L34" s="79">
        <v>0.98162839999999996</v>
      </c>
    </row>
    <row r="38" spans="1:35" ht="15" customHeight="1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41" spans="1:35" ht="15" thickBot="1">
      <c r="A41" t="s">
        <v>161</v>
      </c>
    </row>
    <row r="42" spans="1:35" ht="28.2" thickBot="1">
      <c r="A42" s="150" t="s">
        <v>50</v>
      </c>
      <c r="B42" s="152"/>
      <c r="C42" s="152"/>
      <c r="D42" s="152"/>
      <c r="E42" s="152"/>
      <c r="F42" s="152"/>
      <c r="G42" s="152"/>
      <c r="H42" s="151"/>
      <c r="K42" s="1848"/>
      <c r="L42" s="1849"/>
      <c r="M42" s="1849"/>
      <c r="N42" s="1849"/>
      <c r="O42" s="1849"/>
      <c r="P42" s="1849"/>
      <c r="Q42" s="1849"/>
      <c r="R42" s="1849"/>
    </row>
    <row r="43" spans="1:35" ht="41.4">
      <c r="A43" s="153" t="s">
        <v>229</v>
      </c>
      <c r="B43" s="153" t="s">
        <v>2</v>
      </c>
      <c r="C43" s="31" t="s">
        <v>16</v>
      </c>
      <c r="D43" s="31" t="s">
        <v>82</v>
      </c>
      <c r="E43" s="153" t="s">
        <v>3</v>
      </c>
      <c r="F43" s="31" t="s">
        <v>84</v>
      </c>
      <c r="G43" s="155" t="s">
        <v>85</v>
      </c>
      <c r="H43" s="156"/>
      <c r="K43" s="1845"/>
      <c r="L43" s="1846"/>
      <c r="M43" s="322"/>
      <c r="N43" s="322"/>
      <c r="O43" s="1846"/>
      <c r="P43" s="322"/>
      <c r="Q43" s="1846"/>
      <c r="R43" s="1846"/>
    </row>
    <row r="44" spans="1:35" ht="15" thickBot="1">
      <c r="A44" s="154"/>
      <c r="B44" s="154"/>
      <c r="C44" s="32" t="s">
        <v>2</v>
      </c>
      <c r="D44" s="32" t="s">
        <v>83</v>
      </c>
      <c r="E44" s="154"/>
      <c r="F44" s="32" t="s">
        <v>3</v>
      </c>
      <c r="G44" s="157" t="s">
        <v>86</v>
      </c>
      <c r="H44" s="158"/>
      <c r="K44" s="1845"/>
      <c r="L44" s="1846"/>
      <c r="M44" s="322"/>
      <c r="N44" s="322"/>
      <c r="O44" s="1846"/>
      <c r="P44" s="322"/>
      <c r="Q44" s="1846"/>
      <c r="R44" s="1846"/>
    </row>
    <row r="45" spans="1:35" ht="15" thickBot="1">
      <c r="A45" s="32">
        <v>0</v>
      </c>
      <c r="B45" s="33">
        <v>2</v>
      </c>
      <c r="C45" s="33">
        <v>374.50378999999998</v>
      </c>
      <c r="D45" s="33">
        <v>291.81808999999998</v>
      </c>
      <c r="E45" s="166">
        <v>11.432</v>
      </c>
      <c r="F45" s="33">
        <v>8.8984000000000005</v>
      </c>
      <c r="G45" s="33">
        <v>0</v>
      </c>
      <c r="H45" s="29">
        <v>27.104700000000001</v>
      </c>
      <c r="K45" s="321"/>
      <c r="L45" s="79"/>
      <c r="M45" s="79"/>
      <c r="N45" s="79"/>
      <c r="O45" s="79"/>
      <c r="P45" s="79"/>
      <c r="Q45" s="79"/>
      <c r="R45" s="79"/>
    </row>
    <row r="46" spans="1:35" ht="15" thickBot="1">
      <c r="A46" s="32">
        <v>1</v>
      </c>
      <c r="B46" s="33">
        <v>13</v>
      </c>
      <c r="C46" s="33">
        <v>2901</v>
      </c>
      <c r="D46" s="33">
        <v>433.64794000000001</v>
      </c>
      <c r="E46" s="166">
        <v>88.567999999999998</v>
      </c>
      <c r="F46" s="33">
        <v>8.8984000000000005</v>
      </c>
      <c r="G46" s="33">
        <v>72.895300000000006</v>
      </c>
      <c r="H46" s="29">
        <v>100</v>
      </c>
      <c r="K46" s="321"/>
      <c r="L46" s="79"/>
      <c r="M46" s="79"/>
      <c r="N46" s="79"/>
      <c r="O46" s="79"/>
      <c r="P46" s="79"/>
      <c r="Q46" s="79"/>
      <c r="R46" s="79"/>
    </row>
    <row r="47" spans="1:35" ht="15" thickBot="1">
      <c r="A47" s="34" t="s">
        <v>5</v>
      </c>
      <c r="B47" s="35">
        <v>15</v>
      </c>
      <c r="C47" s="35">
        <v>3276</v>
      </c>
      <c r="D47" s="35">
        <v>343.48244999999997</v>
      </c>
      <c r="E47" s="35">
        <v>100</v>
      </c>
      <c r="F47" s="35"/>
      <c r="G47" s="35"/>
      <c r="H47" s="35"/>
      <c r="K47" s="321"/>
      <c r="L47" s="79"/>
      <c r="M47" s="79"/>
      <c r="N47" s="79"/>
      <c r="O47" s="79"/>
      <c r="P47" s="79"/>
      <c r="Q47" s="79"/>
      <c r="R47" s="79"/>
    </row>
    <row r="48" spans="1:35" ht="15" customHeight="1">
      <c r="A48" t="s">
        <v>234</v>
      </c>
      <c r="K48" s="1845"/>
      <c r="L48" s="1847"/>
      <c r="M48" s="1847"/>
      <c r="N48" s="1847"/>
      <c r="O48" s="1847"/>
      <c r="P48" s="1847"/>
      <c r="Q48" s="1847"/>
      <c r="R48" s="1847"/>
    </row>
    <row r="52" spans="7:12" ht="15" thickBot="1">
      <c r="G52" s="11" t="s">
        <v>162</v>
      </c>
    </row>
    <row r="53" spans="7:12">
      <c r="G53" s="1848" t="s">
        <v>104</v>
      </c>
      <c r="H53" s="1849"/>
      <c r="I53" s="1849"/>
      <c r="J53" s="1849"/>
      <c r="K53" s="1849"/>
      <c r="L53" s="1849"/>
    </row>
    <row r="54" spans="7:12" ht="27.6">
      <c r="G54" s="1845" t="s">
        <v>105</v>
      </c>
      <c r="H54" s="1846" t="s">
        <v>106</v>
      </c>
      <c r="I54" s="1846" t="s">
        <v>107</v>
      </c>
      <c r="J54" s="1846" t="s">
        <v>108</v>
      </c>
      <c r="K54" s="160" t="s">
        <v>109</v>
      </c>
      <c r="L54" s="160" t="s">
        <v>111</v>
      </c>
    </row>
    <row r="55" spans="7:12" ht="27.6">
      <c r="G55" s="1845"/>
      <c r="H55" s="1846"/>
      <c r="I55" s="1846"/>
      <c r="J55" s="1846"/>
      <c r="K55" s="160" t="s">
        <v>110</v>
      </c>
      <c r="L55" s="160" t="s">
        <v>110</v>
      </c>
    </row>
    <row r="56" spans="7:12">
      <c r="G56" s="118">
        <v>130</v>
      </c>
      <c r="H56" s="79">
        <v>0.94486729999999997</v>
      </c>
      <c r="I56" s="79">
        <v>2.6243650999999999</v>
      </c>
      <c r="J56" s="79">
        <v>1.6467900000000001E-2</v>
      </c>
      <c r="K56" s="79">
        <v>0.91758410000000001</v>
      </c>
      <c r="L56" s="79">
        <v>0.97215050000000003</v>
      </c>
    </row>
  </sheetData>
  <customSheetViews>
    <customSheetView guid="{7E8F70E7-08A0-442B-A100-F92E13F1F337}" topLeftCell="A19">
      <selection activeCell="D38" sqref="D38"/>
      <pageMargins left="0.7" right="0.7" top="0.75" bottom="0.75" header="0.3" footer="0.3"/>
      <pageSetup orientation="portrait" r:id="rId1"/>
    </customSheetView>
    <customSheetView guid="{223C1DCA-941C-47FC-83AC-426B3DB3086A}" topLeftCell="A8">
      <selection activeCell="E45" sqref="E45"/>
      <pageMargins left="0.7" right="0.7" top="0.75" bottom="0.75" header="0.3" footer="0.3"/>
      <pageSetup orientation="portrait" r:id="rId2"/>
    </customSheetView>
    <customSheetView guid="{BA0BA4AB-C6A1-41FF-8782-C05227E92BEB}" topLeftCell="A19">
      <selection activeCell="D38" sqref="D38"/>
      <pageMargins left="0.7" right="0.7" top="0.75" bottom="0.75" header="0.3" footer="0.3"/>
      <pageSetup orientation="portrait" r:id="rId3"/>
    </customSheetView>
    <customSheetView guid="{52F27401-6741-4136-9223-9843499AE81D}" topLeftCell="C1">
      <selection activeCell="W13" sqref="W13"/>
      <pageMargins left="0.7" right="0.7" top="0.75" bottom="0.75" header="0.3" footer="0.3"/>
      <pageSetup orientation="portrait" r:id="rId4"/>
    </customSheetView>
  </customSheetViews>
  <mergeCells count="63">
    <mergeCell ref="AC23:AC24"/>
    <mergeCell ref="AD23:AD24"/>
    <mergeCell ref="AE23:AE24"/>
    <mergeCell ref="AF23:AF24"/>
    <mergeCell ref="Q23:Q24"/>
    <mergeCell ref="N22:S22"/>
    <mergeCell ref="N23:N24"/>
    <mergeCell ref="O23:O24"/>
    <mergeCell ref="P23:P24"/>
    <mergeCell ref="K48:R48"/>
    <mergeCell ref="K42:R42"/>
    <mergeCell ref="K43:K44"/>
    <mergeCell ref="L43:L44"/>
    <mergeCell ref="O43:O44"/>
    <mergeCell ref="Q43:R43"/>
    <mergeCell ref="Q44:R44"/>
    <mergeCell ref="U22:Z22"/>
    <mergeCell ref="U23:U24"/>
    <mergeCell ref="V23:V24"/>
    <mergeCell ref="W23:W24"/>
    <mergeCell ref="X23:X24"/>
    <mergeCell ref="A7:H7"/>
    <mergeCell ref="J1:Q1"/>
    <mergeCell ref="J2:J3"/>
    <mergeCell ref="K2:K3"/>
    <mergeCell ref="N2:N3"/>
    <mergeCell ref="P2:Q2"/>
    <mergeCell ref="P3:Q3"/>
    <mergeCell ref="J7:Q7"/>
    <mergeCell ref="A1:H1"/>
    <mergeCell ref="A2:A3"/>
    <mergeCell ref="B2:B3"/>
    <mergeCell ref="E2:E3"/>
    <mergeCell ref="G2:H2"/>
    <mergeCell ref="G3:H3"/>
    <mergeCell ref="S1:Z1"/>
    <mergeCell ref="AE18:AL18"/>
    <mergeCell ref="AE19:AE20"/>
    <mergeCell ref="AF19:AF20"/>
    <mergeCell ref="AI19:AI20"/>
    <mergeCell ref="AK19:AL19"/>
    <mergeCell ref="AK20:AL20"/>
    <mergeCell ref="S2:S3"/>
    <mergeCell ref="T2:T3"/>
    <mergeCell ref="W2:W3"/>
    <mergeCell ref="Y2:Z2"/>
    <mergeCell ref="Y3:Z3"/>
    <mergeCell ref="S7:Z7"/>
    <mergeCell ref="G53:L53"/>
    <mergeCell ref="G54:G55"/>
    <mergeCell ref="H54:H55"/>
    <mergeCell ref="I54:I55"/>
    <mergeCell ref="J54:J55"/>
    <mergeCell ref="G32:G33"/>
    <mergeCell ref="H32:H33"/>
    <mergeCell ref="I32:I33"/>
    <mergeCell ref="J32:J33"/>
    <mergeCell ref="G22:L22"/>
    <mergeCell ref="G23:G24"/>
    <mergeCell ref="H23:H24"/>
    <mergeCell ref="I23:I24"/>
    <mergeCell ref="J23:J24"/>
    <mergeCell ref="G31:L31"/>
  </mergeCells>
  <pageMargins left="0.7" right="0.7" top="0.75" bottom="0.75" header="0.3" footer="0.3"/>
  <pageSetup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opLeftCell="A31" workbookViewId="0">
      <selection activeCell="J3" sqref="J3:J6"/>
    </sheetView>
  </sheetViews>
  <sheetFormatPr defaultColWidth="16.88671875" defaultRowHeight="14.4"/>
  <cols>
    <col min="1" max="3" width="3.88671875" customWidth="1"/>
    <col min="4" max="4" width="27" bestFit="1" customWidth="1"/>
    <col min="5" max="5" width="16.88671875" style="11"/>
    <col min="11" max="11" width="21.5546875" customWidth="1"/>
  </cols>
  <sheetData>
    <row r="1" spans="3:38">
      <c r="C1" s="11"/>
    </row>
    <row r="2" spans="3:38">
      <c r="C2" s="11"/>
      <c r="D2" s="76" t="s">
        <v>78</v>
      </c>
      <c r="E2"/>
      <c r="I2" s="426" t="s">
        <v>0</v>
      </c>
      <c r="J2" s="117" t="s">
        <v>594</v>
      </c>
      <c r="K2" s="117" t="s">
        <v>58</v>
      </c>
      <c r="L2" s="117" t="s">
        <v>254</v>
      </c>
      <c r="M2" s="117" t="s">
        <v>255</v>
      </c>
    </row>
    <row r="3" spans="3:38">
      <c r="D3" s="1"/>
      <c r="E3"/>
      <c r="I3" s="426" t="s">
        <v>256</v>
      </c>
      <c r="J3" s="1143">
        <f>E16</f>
        <v>123</v>
      </c>
      <c r="K3" s="427">
        <f>H13/100</f>
        <v>0.21313500000000002</v>
      </c>
      <c r="L3" s="427">
        <f>H14/100</f>
        <v>0.222468</v>
      </c>
      <c r="M3" s="427">
        <f>H15/100</f>
        <v>0.56439700000000004</v>
      </c>
    </row>
    <row r="4" spans="3:38">
      <c r="D4" s="77" t="s">
        <v>79</v>
      </c>
      <c r="E4"/>
      <c r="I4" s="426" t="s">
        <v>18</v>
      </c>
      <c r="J4" s="1143">
        <f>N16</f>
        <v>132</v>
      </c>
      <c r="K4" s="427">
        <f>Q13/100</f>
        <v>0.20858499999999999</v>
      </c>
      <c r="L4" s="427">
        <f>Q14/100</f>
        <v>0.31685999999999998</v>
      </c>
      <c r="M4" s="427">
        <f>Q15/100</f>
        <v>0.474555</v>
      </c>
    </row>
    <row r="5" spans="3:38" ht="15" thickBot="1">
      <c r="D5" s="78"/>
      <c r="E5"/>
      <c r="I5" s="426" t="s">
        <v>257</v>
      </c>
      <c r="J5" s="1143">
        <f>W16</f>
        <v>27</v>
      </c>
      <c r="K5" s="427">
        <f>Z13/100</f>
        <v>0.25656699999999999</v>
      </c>
      <c r="L5" s="427">
        <f>Z14/100</f>
        <v>0.43293599999999999</v>
      </c>
      <c r="M5" s="427">
        <f>Z15/100</f>
        <v>0.310498</v>
      </c>
    </row>
    <row r="6" spans="3:38" ht="15" customHeight="1">
      <c r="D6" s="1848" t="s">
        <v>33</v>
      </c>
      <c r="E6" s="1849"/>
      <c r="I6" s="800" t="s">
        <v>161</v>
      </c>
      <c r="J6" s="1143">
        <f>AF16</f>
        <v>282</v>
      </c>
      <c r="K6" s="427">
        <f>AI13/100</f>
        <v>0.21604999999999999</v>
      </c>
      <c r="L6" s="427">
        <f>AI14/100</f>
        <v>0.294711</v>
      </c>
      <c r="M6" s="427">
        <f>AI15/100</f>
        <v>0.48923900000000003</v>
      </c>
      <c r="AE6" s="1848" t="s">
        <v>33</v>
      </c>
      <c r="AF6" s="1849"/>
    </row>
    <row r="7" spans="3:38" ht="14.4" customHeight="1">
      <c r="D7" s="409" t="s">
        <v>34</v>
      </c>
      <c r="E7" s="79">
        <v>126</v>
      </c>
      <c r="AE7" s="919" t="s">
        <v>34</v>
      </c>
      <c r="AF7" s="918">
        <v>288</v>
      </c>
    </row>
    <row r="8" spans="3:38" ht="14.4" customHeight="1">
      <c r="D8" s="409" t="s">
        <v>35</v>
      </c>
      <c r="E8" s="79">
        <v>181958</v>
      </c>
      <c r="AE8" s="919" t="s">
        <v>35</v>
      </c>
      <c r="AF8" s="918">
        <v>477569</v>
      </c>
    </row>
    <row r="9" spans="3:38" ht="15" thickBot="1">
      <c r="D9" s="78" t="s">
        <v>236</v>
      </c>
      <c r="E9"/>
      <c r="M9" t="s">
        <v>174</v>
      </c>
      <c r="V9" t="s">
        <v>175</v>
      </c>
      <c r="AE9" t="s">
        <v>237</v>
      </c>
    </row>
    <row r="10" spans="3:38" ht="15" customHeight="1">
      <c r="D10" s="1848" t="s">
        <v>80</v>
      </c>
      <c r="E10" s="1849"/>
      <c r="F10" s="1849"/>
      <c r="G10" s="1849"/>
      <c r="H10" s="1849"/>
      <c r="I10" s="1849"/>
      <c r="J10" s="1849"/>
      <c r="K10" s="1849"/>
      <c r="M10" s="1848" t="s">
        <v>80</v>
      </c>
      <c r="N10" s="1849"/>
      <c r="O10" s="1849"/>
      <c r="P10" s="1849"/>
      <c r="Q10" s="1849"/>
      <c r="R10" s="1849"/>
      <c r="S10" s="1849"/>
      <c r="T10" s="1849"/>
      <c r="V10" s="1848" t="s">
        <v>80</v>
      </c>
      <c r="W10" s="1849"/>
      <c r="X10" s="1849"/>
      <c r="Y10" s="1849"/>
      <c r="Z10" s="1849"/>
      <c r="AA10" s="1849"/>
      <c r="AB10" s="1849"/>
      <c r="AC10" s="1849"/>
      <c r="AE10" s="1848" t="s">
        <v>80</v>
      </c>
      <c r="AF10" s="1849"/>
      <c r="AG10" s="1849"/>
      <c r="AH10" s="1849"/>
      <c r="AI10" s="1849"/>
      <c r="AJ10" s="1849"/>
      <c r="AK10" s="1849"/>
      <c r="AL10" s="1849"/>
    </row>
    <row r="11" spans="3:38" ht="15" customHeight="1">
      <c r="D11" s="1845" t="s">
        <v>81</v>
      </c>
      <c r="E11" s="1846" t="s">
        <v>2</v>
      </c>
      <c r="F11" s="410" t="s">
        <v>16</v>
      </c>
      <c r="G11" s="410" t="s">
        <v>82</v>
      </c>
      <c r="H11" s="1846" t="s">
        <v>3</v>
      </c>
      <c r="I11" s="410" t="s">
        <v>84</v>
      </c>
      <c r="J11" s="1846" t="s">
        <v>85</v>
      </c>
      <c r="K11" s="1846"/>
      <c r="M11" s="1845" t="s">
        <v>81</v>
      </c>
      <c r="N11" s="1846" t="s">
        <v>2</v>
      </c>
      <c r="O11" s="410" t="s">
        <v>16</v>
      </c>
      <c r="P11" s="410" t="s">
        <v>82</v>
      </c>
      <c r="Q11" s="1846" t="s">
        <v>3</v>
      </c>
      <c r="R11" s="410" t="s">
        <v>84</v>
      </c>
      <c r="S11" s="1846" t="s">
        <v>85</v>
      </c>
      <c r="T11" s="1846"/>
      <c r="V11" s="1845" t="s">
        <v>81</v>
      </c>
      <c r="W11" s="1846" t="s">
        <v>2</v>
      </c>
      <c r="X11" s="410" t="s">
        <v>16</v>
      </c>
      <c r="Y11" s="410" t="s">
        <v>82</v>
      </c>
      <c r="Z11" s="1846" t="s">
        <v>3</v>
      </c>
      <c r="AA11" s="410" t="s">
        <v>84</v>
      </c>
      <c r="AB11" s="1846" t="s">
        <v>85</v>
      </c>
      <c r="AC11" s="1846"/>
      <c r="AE11" s="1845" t="s">
        <v>81</v>
      </c>
      <c r="AF11" s="1846" t="s">
        <v>2</v>
      </c>
      <c r="AG11" s="917" t="s">
        <v>16</v>
      </c>
      <c r="AH11" s="917" t="s">
        <v>82</v>
      </c>
      <c r="AI11" s="1846" t="s">
        <v>3</v>
      </c>
      <c r="AJ11" s="917" t="s">
        <v>84</v>
      </c>
      <c r="AK11" s="1846" t="s">
        <v>85</v>
      </c>
      <c r="AL11" s="1846"/>
    </row>
    <row r="12" spans="3:38" ht="15" customHeight="1">
      <c r="D12" s="1845"/>
      <c r="E12" s="1846"/>
      <c r="F12" s="410" t="s">
        <v>2</v>
      </c>
      <c r="G12" s="410" t="s">
        <v>83</v>
      </c>
      <c r="H12" s="1846"/>
      <c r="I12" s="410" t="s">
        <v>3</v>
      </c>
      <c r="J12" s="1846" t="s">
        <v>86</v>
      </c>
      <c r="K12" s="1846"/>
      <c r="M12" s="1845"/>
      <c r="N12" s="1846"/>
      <c r="O12" s="410" t="s">
        <v>2</v>
      </c>
      <c r="P12" s="410" t="s">
        <v>83</v>
      </c>
      <c r="Q12" s="1846"/>
      <c r="R12" s="410" t="s">
        <v>3</v>
      </c>
      <c r="S12" s="1846" t="s">
        <v>86</v>
      </c>
      <c r="T12" s="1846"/>
      <c r="V12" s="1845"/>
      <c r="W12" s="1846"/>
      <c r="X12" s="410" t="s">
        <v>2</v>
      </c>
      <c r="Y12" s="410" t="s">
        <v>83</v>
      </c>
      <c r="Z12" s="1846"/>
      <c r="AA12" s="410" t="s">
        <v>3</v>
      </c>
      <c r="AB12" s="1846" t="s">
        <v>86</v>
      </c>
      <c r="AC12" s="1846"/>
      <c r="AE12" s="1845"/>
      <c r="AF12" s="1846"/>
      <c r="AG12" s="917" t="s">
        <v>2</v>
      </c>
      <c r="AH12" s="917" t="s">
        <v>83</v>
      </c>
      <c r="AI12" s="1846"/>
      <c r="AJ12" s="917" t="s">
        <v>3</v>
      </c>
      <c r="AK12" s="1846" t="s">
        <v>86</v>
      </c>
      <c r="AL12" s="1846"/>
    </row>
    <row r="13" spans="3:38" ht="14.4" customHeight="1">
      <c r="D13" s="409" t="s">
        <v>58</v>
      </c>
      <c r="E13" s="79">
        <v>26</v>
      </c>
      <c r="F13" s="79">
        <v>37979</v>
      </c>
      <c r="G13" s="79">
        <v>6808</v>
      </c>
      <c r="H13" s="79">
        <v>21.313500000000001</v>
      </c>
      <c r="I13" s="79">
        <v>3.7932000000000001</v>
      </c>
      <c r="J13" s="79">
        <v>15.0265</v>
      </c>
      <c r="K13" s="79">
        <v>27.6006</v>
      </c>
      <c r="M13" s="409" t="s">
        <v>58</v>
      </c>
      <c r="N13" s="79">
        <v>28</v>
      </c>
      <c r="O13" s="79">
        <v>48627</v>
      </c>
      <c r="P13" s="79">
        <v>8559</v>
      </c>
      <c r="Q13" s="79">
        <v>20.858499999999999</v>
      </c>
      <c r="R13" s="79">
        <v>3.6528</v>
      </c>
      <c r="S13" s="79">
        <v>14.807399999999999</v>
      </c>
      <c r="T13" s="79">
        <v>26.909600000000001</v>
      </c>
      <c r="V13" s="409" t="s">
        <v>58</v>
      </c>
      <c r="W13" s="79">
        <v>7</v>
      </c>
      <c r="X13" s="79">
        <v>14310</v>
      </c>
      <c r="Y13" s="79">
        <v>4812</v>
      </c>
      <c r="Z13" s="79">
        <v>25.656700000000001</v>
      </c>
      <c r="AA13" s="79">
        <v>8.6257999999999999</v>
      </c>
      <c r="AB13" s="79">
        <v>10.9443</v>
      </c>
      <c r="AC13" s="79">
        <v>40.369</v>
      </c>
      <c r="AE13" s="919" t="s">
        <v>58</v>
      </c>
      <c r="AF13" s="918">
        <v>61</v>
      </c>
      <c r="AG13" s="918">
        <v>100916</v>
      </c>
      <c r="AH13" s="918">
        <v>11941</v>
      </c>
      <c r="AI13" s="918">
        <v>21.605</v>
      </c>
      <c r="AJ13" s="938">
        <v>2.5357000000000001E-2</v>
      </c>
      <c r="AK13" s="918">
        <v>17.420400000000001</v>
      </c>
      <c r="AL13" s="918">
        <v>25.7896</v>
      </c>
    </row>
    <row r="14" spans="3:38" ht="14.4" customHeight="1">
      <c r="D14" s="409" t="s">
        <v>87</v>
      </c>
      <c r="E14" s="79">
        <v>27</v>
      </c>
      <c r="F14" s="79">
        <v>39642</v>
      </c>
      <c r="G14" s="79">
        <v>6949</v>
      </c>
      <c r="H14" s="79">
        <v>22.2468</v>
      </c>
      <c r="I14" s="79">
        <v>3.8622000000000001</v>
      </c>
      <c r="J14" s="79">
        <v>15.845499999999999</v>
      </c>
      <c r="K14" s="79">
        <v>28.648099999999999</v>
      </c>
      <c r="M14" s="409" t="s">
        <v>87</v>
      </c>
      <c r="N14" s="79">
        <v>42</v>
      </c>
      <c r="O14" s="79">
        <v>73869</v>
      </c>
      <c r="P14" s="79">
        <v>9892</v>
      </c>
      <c r="Q14" s="79">
        <v>31.686</v>
      </c>
      <c r="R14" s="79">
        <v>4.1946000000000003</v>
      </c>
      <c r="S14" s="79">
        <v>24.737300000000001</v>
      </c>
      <c r="T14" s="79">
        <v>38.634700000000002</v>
      </c>
      <c r="V14" s="409" t="s">
        <v>87</v>
      </c>
      <c r="W14" s="79">
        <v>12</v>
      </c>
      <c r="X14" s="79">
        <v>24147</v>
      </c>
      <c r="Y14" s="79">
        <v>5358</v>
      </c>
      <c r="Z14" s="79">
        <v>43.293599999999998</v>
      </c>
      <c r="AA14" s="79">
        <v>9.7784999999999993</v>
      </c>
      <c r="AB14" s="79">
        <v>26.615300000000001</v>
      </c>
      <c r="AC14" s="79">
        <v>59.971899999999998</v>
      </c>
      <c r="AE14" s="919" t="s">
        <v>87</v>
      </c>
      <c r="AF14" s="918">
        <v>81</v>
      </c>
      <c r="AG14" s="918">
        <v>137658</v>
      </c>
      <c r="AH14" s="918">
        <v>13483</v>
      </c>
      <c r="AI14" s="918">
        <v>29.4711</v>
      </c>
      <c r="AJ14" s="938">
        <v>2.8271000000000001E-2</v>
      </c>
      <c r="AK14" s="918">
        <v>24.805599999999998</v>
      </c>
      <c r="AL14" s="918">
        <v>34.136600000000001</v>
      </c>
    </row>
    <row r="15" spans="3:38" ht="14.4" customHeight="1">
      <c r="D15" s="409" t="s">
        <v>88</v>
      </c>
      <c r="E15" s="79">
        <v>70</v>
      </c>
      <c r="F15" s="79">
        <v>100571</v>
      </c>
      <c r="G15" s="79">
        <v>8292</v>
      </c>
      <c r="H15" s="79">
        <v>56.439700000000002</v>
      </c>
      <c r="I15" s="79">
        <v>4.5864000000000003</v>
      </c>
      <c r="J15" s="79">
        <v>48.837899999999998</v>
      </c>
      <c r="K15" s="79">
        <v>64.041399999999996</v>
      </c>
      <c r="M15" s="409" t="s">
        <v>88</v>
      </c>
      <c r="N15" s="79">
        <v>62</v>
      </c>
      <c r="O15" s="79">
        <v>110632</v>
      </c>
      <c r="P15" s="79">
        <v>10922</v>
      </c>
      <c r="Q15" s="79">
        <v>47.455500000000001</v>
      </c>
      <c r="R15" s="79">
        <v>4.5133000000000001</v>
      </c>
      <c r="S15" s="79">
        <v>39.9788</v>
      </c>
      <c r="T15" s="79">
        <v>54.932099999999998</v>
      </c>
      <c r="V15" s="409" t="s">
        <v>88</v>
      </c>
      <c r="W15" s="79">
        <v>8</v>
      </c>
      <c r="X15" s="79">
        <v>17318</v>
      </c>
      <c r="Y15" s="79">
        <v>5330</v>
      </c>
      <c r="Z15" s="79">
        <v>31.049800000000001</v>
      </c>
      <c r="AA15" s="79">
        <v>9.3009000000000004</v>
      </c>
      <c r="AB15" s="79">
        <v>15.186</v>
      </c>
      <c r="AC15" s="79">
        <v>46.913499999999999</v>
      </c>
      <c r="AE15" s="919" t="s">
        <v>88</v>
      </c>
      <c r="AF15" s="918">
        <v>140</v>
      </c>
      <c r="AG15" s="918">
        <v>228521</v>
      </c>
      <c r="AH15" s="918">
        <v>14683</v>
      </c>
      <c r="AI15" s="918">
        <v>48.923900000000003</v>
      </c>
      <c r="AJ15" s="938">
        <v>3.0816E-2</v>
      </c>
      <c r="AK15" s="918">
        <v>43.8384</v>
      </c>
      <c r="AL15" s="918">
        <v>54.009399999999999</v>
      </c>
    </row>
    <row r="16" spans="3:38" ht="14.4" customHeight="1">
      <c r="D16" s="409" t="s">
        <v>5</v>
      </c>
      <c r="E16" s="79">
        <v>123</v>
      </c>
      <c r="F16" s="79">
        <v>178192</v>
      </c>
      <c r="G16" s="79">
        <v>3277</v>
      </c>
      <c r="H16" s="79">
        <v>100</v>
      </c>
      <c r="I16" s="79"/>
      <c r="J16" s="79"/>
      <c r="K16" s="79"/>
      <c r="M16" s="409" t="s">
        <v>5</v>
      </c>
      <c r="N16" s="79">
        <v>132</v>
      </c>
      <c r="O16" s="79">
        <v>233128</v>
      </c>
      <c r="P16" s="79">
        <v>5353</v>
      </c>
      <c r="Q16" s="79">
        <v>100</v>
      </c>
      <c r="R16" s="79"/>
      <c r="S16" s="79"/>
      <c r="T16" s="79"/>
      <c r="V16" s="409" t="s">
        <v>5</v>
      </c>
      <c r="W16" s="79">
        <v>27</v>
      </c>
      <c r="X16" s="79">
        <v>55775</v>
      </c>
      <c r="Y16" s="79">
        <v>1568</v>
      </c>
      <c r="Z16" s="79">
        <v>100</v>
      </c>
      <c r="AA16" s="79"/>
      <c r="AB16" s="79"/>
      <c r="AC16" s="79"/>
      <c r="AE16" s="919" t="s">
        <v>5</v>
      </c>
      <c r="AF16" s="918">
        <v>282</v>
      </c>
      <c r="AG16" s="918">
        <v>467095</v>
      </c>
      <c r="AH16" s="918">
        <v>7284</v>
      </c>
      <c r="AI16" s="918">
        <v>100</v>
      </c>
      <c r="AJ16" s="918"/>
      <c r="AK16" s="918"/>
      <c r="AL16" s="918"/>
    </row>
    <row r="17" spans="1:38" ht="15" customHeight="1">
      <c r="D17" s="1845" t="s">
        <v>163</v>
      </c>
      <c r="E17" s="1847"/>
      <c r="F17" s="1847"/>
      <c r="G17" s="1847"/>
      <c r="H17" s="1847"/>
      <c r="I17" s="1847"/>
      <c r="J17" s="1847"/>
      <c r="K17" s="1847"/>
      <c r="M17" s="1845" t="s">
        <v>164</v>
      </c>
      <c r="N17" s="1847"/>
      <c r="O17" s="1847"/>
      <c r="P17" s="1847"/>
      <c r="Q17" s="1847"/>
      <c r="R17" s="1847"/>
      <c r="S17" s="1847"/>
      <c r="T17" s="1847"/>
      <c r="V17" s="1845" t="s">
        <v>165</v>
      </c>
      <c r="W17" s="1847"/>
      <c r="X17" s="1847"/>
      <c r="Y17" s="1847"/>
      <c r="Z17" s="1847"/>
      <c r="AA17" s="1847"/>
      <c r="AB17" s="1847"/>
      <c r="AC17" s="1847"/>
      <c r="AE17" s="1845" t="s">
        <v>238</v>
      </c>
      <c r="AF17" s="1847"/>
      <c r="AG17" s="1847"/>
      <c r="AH17" s="1847"/>
      <c r="AI17" s="1847"/>
      <c r="AJ17" s="1847"/>
      <c r="AK17" s="1847"/>
      <c r="AL17" s="1847"/>
    </row>
    <row r="18" spans="1:38" ht="15" thickBot="1">
      <c r="D18" s="78"/>
      <c r="E18"/>
    </row>
    <row r="19" spans="1:38">
      <c r="D19" s="1848" t="s">
        <v>6</v>
      </c>
      <c r="E19" s="1849"/>
    </row>
    <row r="20" spans="1:38">
      <c r="D20" s="80" t="s">
        <v>7</v>
      </c>
      <c r="E20" s="79">
        <v>4.2088999999999999</v>
      </c>
    </row>
    <row r="21" spans="1:38">
      <c r="D21" s="80" t="s">
        <v>8</v>
      </c>
      <c r="E21" s="79">
        <v>1.0531999999999999</v>
      </c>
      <c r="N21" s="421">
        <f>N13/N16</f>
        <v>0.21212121212121213</v>
      </c>
    </row>
    <row r="22" spans="1:38">
      <c r="D22" s="80"/>
      <c r="E22" s="79"/>
      <c r="N22" s="421">
        <f>N14/N16</f>
        <v>0.31818181818181818</v>
      </c>
    </row>
    <row r="23" spans="1:38" ht="15" customHeight="1">
      <c r="D23" s="80" t="s">
        <v>9</v>
      </c>
      <c r="E23" s="79">
        <v>3.9961000000000002</v>
      </c>
      <c r="N23" s="421">
        <f>N15/N16</f>
        <v>0.46969696969696972</v>
      </c>
    </row>
    <row r="24" spans="1:38">
      <c r="D24" s="80" t="s">
        <v>10</v>
      </c>
      <c r="E24" s="79">
        <v>2</v>
      </c>
    </row>
    <row r="25" spans="1:38">
      <c r="D25" s="80" t="s">
        <v>11</v>
      </c>
      <c r="E25" s="79">
        <v>0.1356</v>
      </c>
    </row>
    <row r="26" spans="1:38" ht="15" thickBot="1">
      <c r="D26" s="80"/>
      <c r="E26" s="79"/>
      <c r="AE26" s="843"/>
    </row>
    <row r="27" spans="1:38" ht="15" customHeight="1">
      <c r="D27" s="80" t="s">
        <v>12</v>
      </c>
      <c r="E27" s="79">
        <v>1.9981</v>
      </c>
      <c r="AE27" s="1848"/>
      <c r="AF27" s="1849"/>
      <c r="AG27" s="1849"/>
      <c r="AH27" s="1849"/>
      <c r="AI27" s="1849"/>
      <c r="AJ27" s="1849"/>
      <c r="AK27" s="1849"/>
      <c r="AL27" s="1849"/>
    </row>
    <row r="28" spans="1:38" ht="15" customHeight="1">
      <c r="D28" s="80" t="s">
        <v>13</v>
      </c>
      <c r="E28" s="79">
        <v>2</v>
      </c>
      <c r="AE28" s="1845"/>
      <c r="AF28" s="1846"/>
      <c r="AG28" s="917"/>
      <c r="AH28" s="917"/>
      <c r="AI28" s="1846"/>
      <c r="AJ28" s="917"/>
      <c r="AK28" s="1846"/>
      <c r="AL28" s="1846"/>
    </row>
    <row r="29" spans="1:38" ht="15" customHeight="1">
      <c r="D29" s="80" t="s">
        <v>14</v>
      </c>
      <c r="E29" s="79">
        <v>562</v>
      </c>
      <c r="AE29" s="1845"/>
      <c r="AF29" s="1846"/>
      <c r="AG29" s="917"/>
      <c r="AH29" s="917"/>
      <c r="AI29" s="1846"/>
      <c r="AJ29" s="917"/>
      <c r="AK29" s="1846"/>
      <c r="AL29" s="1846"/>
    </row>
    <row r="30" spans="1:38">
      <c r="D30" s="80" t="s">
        <v>15</v>
      </c>
      <c r="E30" s="79">
        <v>0.1366</v>
      </c>
      <c r="AE30" s="919"/>
      <c r="AF30" s="918"/>
      <c r="AG30" s="918"/>
      <c r="AH30" s="918"/>
      <c r="AI30" s="918"/>
      <c r="AJ30" s="918"/>
      <c r="AK30" s="918"/>
      <c r="AL30" s="918"/>
    </row>
    <row r="31" spans="1:38">
      <c r="D31" s="1845" t="s">
        <v>89</v>
      </c>
      <c r="E31" s="1847"/>
      <c r="AE31" s="919"/>
      <c r="AF31" s="918"/>
      <c r="AG31" s="918"/>
      <c r="AH31" s="918"/>
      <c r="AI31" s="918"/>
      <c r="AJ31" s="918"/>
      <c r="AK31" s="918"/>
      <c r="AL31" s="918"/>
    </row>
    <row r="32" spans="1:38" s="11" customFormat="1" ht="15" thickBot="1">
      <c r="A32" s="41"/>
      <c r="B32" s="41"/>
      <c r="C32" s="41"/>
      <c r="D32" s="194"/>
      <c r="E32" s="194"/>
      <c r="F32" s="41"/>
      <c r="G32" s="41"/>
      <c r="H32" s="41"/>
      <c r="I32" s="41"/>
      <c r="J32" s="41"/>
      <c r="K32" s="41"/>
      <c r="AE32" s="919"/>
      <c r="AF32" s="918"/>
      <c r="AG32" s="918"/>
      <c r="AH32" s="918"/>
      <c r="AI32" s="918"/>
      <c r="AJ32" s="918"/>
      <c r="AK32" s="918"/>
      <c r="AL32" s="918"/>
    </row>
    <row r="33" spans="4:38" ht="15" customHeight="1" thickBot="1">
      <c r="D33" s="193" t="s">
        <v>219</v>
      </c>
      <c r="M33" s="1848"/>
      <c r="N33" s="1849"/>
      <c r="O33" s="1849"/>
      <c r="P33" s="1849"/>
      <c r="Q33" s="1849"/>
      <c r="R33" s="1849"/>
      <c r="S33" s="1849"/>
      <c r="T33" s="1849"/>
      <c r="AE33" s="919"/>
      <c r="AF33" s="918"/>
      <c r="AG33" s="918"/>
      <c r="AH33" s="918"/>
      <c r="AI33" s="918"/>
      <c r="AJ33" s="918"/>
      <c r="AK33" s="918"/>
      <c r="AL33" s="918"/>
    </row>
    <row r="34" spans="4:38" ht="15" customHeight="1">
      <c r="D34" s="1848" t="s">
        <v>80</v>
      </c>
      <c r="E34" s="1849"/>
      <c r="F34" s="1849"/>
      <c r="G34" s="1849"/>
      <c r="H34" s="1849"/>
      <c r="I34" s="1849"/>
      <c r="J34" s="1849"/>
      <c r="K34" s="1849"/>
      <c r="M34" s="1845"/>
      <c r="N34" s="1846"/>
      <c r="O34" s="399"/>
      <c r="P34" s="399"/>
      <c r="Q34" s="1846"/>
      <c r="R34" s="399"/>
      <c r="S34" s="1846"/>
      <c r="T34" s="1846"/>
      <c r="AE34" s="1845"/>
      <c r="AF34" s="1847"/>
      <c r="AG34" s="1847"/>
      <c r="AH34" s="1847"/>
      <c r="AI34" s="1847"/>
      <c r="AJ34" s="1847"/>
      <c r="AK34" s="1847"/>
      <c r="AL34" s="1847"/>
    </row>
    <row r="35" spans="4:38" ht="15" customHeight="1">
      <c r="D35" s="1845" t="s">
        <v>81</v>
      </c>
      <c r="E35" s="1846" t="s">
        <v>2</v>
      </c>
      <c r="F35" s="410" t="s">
        <v>16</v>
      </c>
      <c r="G35" s="410" t="s">
        <v>82</v>
      </c>
      <c r="H35" s="1846" t="s">
        <v>3</v>
      </c>
      <c r="I35" s="410" t="s">
        <v>84</v>
      </c>
      <c r="J35" s="1846" t="s">
        <v>85</v>
      </c>
      <c r="K35" s="1846"/>
      <c r="M35" s="1845"/>
      <c r="N35" s="1846"/>
      <c r="O35" s="399"/>
      <c r="P35" s="399"/>
      <c r="Q35" s="1846"/>
      <c r="R35" s="399"/>
      <c r="S35" s="1846"/>
      <c r="T35" s="1846"/>
    </row>
    <row r="36" spans="4:38" ht="15" customHeight="1">
      <c r="D36" s="1845"/>
      <c r="E36" s="1846"/>
      <c r="F36" s="410" t="s">
        <v>2</v>
      </c>
      <c r="G36" s="410" t="s">
        <v>83</v>
      </c>
      <c r="H36" s="1846"/>
      <c r="I36" s="410" t="s">
        <v>3</v>
      </c>
      <c r="J36" s="1846" t="s">
        <v>86</v>
      </c>
      <c r="K36" s="1846"/>
      <c r="M36" s="398"/>
      <c r="N36" s="79"/>
      <c r="O36" s="79"/>
      <c r="P36" s="79"/>
      <c r="Q36" s="79"/>
      <c r="R36" s="79"/>
      <c r="S36" s="79"/>
      <c r="T36" s="79"/>
    </row>
    <row r="37" spans="4:38">
      <c r="D37" s="409" t="s">
        <v>58</v>
      </c>
      <c r="E37" s="79">
        <v>12</v>
      </c>
      <c r="F37" s="79">
        <v>18052</v>
      </c>
      <c r="G37" s="79">
        <v>4865</v>
      </c>
      <c r="H37" s="79">
        <v>15.0219</v>
      </c>
      <c r="I37" s="79">
        <v>4.1147</v>
      </c>
      <c r="J37" s="79">
        <v>8.1669</v>
      </c>
      <c r="K37" s="79">
        <v>21.876999999999999</v>
      </c>
      <c r="M37" s="398"/>
      <c r="N37" s="79"/>
      <c r="O37" s="79"/>
      <c r="P37" s="79"/>
      <c r="Q37" s="79"/>
      <c r="R37" s="79"/>
      <c r="S37" s="79"/>
      <c r="T37" s="79"/>
    </row>
    <row r="38" spans="4:38">
      <c r="D38" s="409" t="s">
        <v>87</v>
      </c>
      <c r="E38" s="79">
        <v>29</v>
      </c>
      <c r="F38" s="79">
        <v>48973</v>
      </c>
      <c r="G38" s="79">
        <v>7613</v>
      </c>
      <c r="H38" s="79">
        <v>40.752800000000001</v>
      </c>
      <c r="I38" s="79">
        <v>5.9932999999999996</v>
      </c>
      <c r="J38" s="79">
        <v>30.767900000000001</v>
      </c>
      <c r="K38" s="79">
        <v>50.7376</v>
      </c>
      <c r="M38" s="398"/>
      <c r="N38" s="79"/>
      <c r="O38" s="79"/>
      <c r="P38" s="79"/>
      <c r="Q38" s="79"/>
      <c r="R38" s="79"/>
      <c r="S38" s="79"/>
      <c r="T38" s="79"/>
    </row>
    <row r="39" spans="4:38">
      <c r="D39" s="409" t="s">
        <v>88</v>
      </c>
      <c r="E39" s="79">
        <v>33</v>
      </c>
      <c r="F39" s="79">
        <v>53146</v>
      </c>
      <c r="G39" s="79">
        <v>7320</v>
      </c>
      <c r="H39" s="79">
        <v>44.225299999999997</v>
      </c>
      <c r="I39" s="79">
        <v>5.9988999999999999</v>
      </c>
      <c r="J39" s="79">
        <v>34.231200000000001</v>
      </c>
      <c r="K39" s="79">
        <v>54.2194</v>
      </c>
      <c r="M39" s="398"/>
      <c r="N39" s="79"/>
      <c r="O39" s="79"/>
      <c r="P39" s="79"/>
      <c r="Q39" s="79"/>
      <c r="R39" s="79"/>
      <c r="S39" s="79"/>
      <c r="T39" s="79"/>
    </row>
    <row r="40" spans="4:38" ht="15" customHeight="1">
      <c r="D40" s="409" t="s">
        <v>5</v>
      </c>
      <c r="E40" s="79">
        <v>74</v>
      </c>
      <c r="F40" s="79">
        <v>120171</v>
      </c>
      <c r="G40" s="79">
        <v>3660</v>
      </c>
      <c r="H40" s="79">
        <v>100</v>
      </c>
      <c r="I40" s="79"/>
      <c r="J40" s="79"/>
      <c r="K40" s="79"/>
      <c r="M40" s="1845"/>
      <c r="N40" s="1847"/>
      <c r="O40" s="1847"/>
      <c r="P40" s="1847"/>
      <c r="Q40" s="1847"/>
      <c r="R40" s="1847"/>
      <c r="S40" s="1847"/>
      <c r="T40" s="1847"/>
    </row>
    <row r="41" spans="4:38" ht="15" customHeight="1">
      <c r="D41" s="1845" t="s">
        <v>166</v>
      </c>
      <c r="E41" s="1847"/>
      <c r="F41" s="1847"/>
      <c r="G41" s="1847"/>
      <c r="H41" s="1847"/>
      <c r="I41" s="1847"/>
      <c r="J41" s="1847"/>
      <c r="K41" s="1847"/>
    </row>
    <row r="42" spans="4:38">
      <c r="Q42" s="79"/>
    </row>
    <row r="43" spans="4:38">
      <c r="Q43" s="79"/>
    </row>
    <row r="44" spans="4:38">
      <c r="Q44" s="79"/>
    </row>
    <row r="45" spans="4:38">
      <c r="Q45" s="79"/>
    </row>
  </sheetData>
  <customSheetViews>
    <customSheetView guid="{7E8F70E7-08A0-442B-A100-F92E13F1F337}" topLeftCell="D1">
      <selection activeCell="H13" sqref="H13"/>
      <pageMargins left="0.7" right="0.7" top="0.75" bottom="0.75" header="0.3" footer="0.3"/>
      <pageSetup orientation="portrait" r:id="rId1"/>
    </customSheetView>
    <customSheetView guid="{223C1DCA-941C-47FC-83AC-426B3DB3086A}" topLeftCell="A10">
      <selection activeCell="H36" sqref="H36"/>
      <pageMargins left="0.7" right="0.7" top="0.75" bottom="0.75" header="0.3" footer="0.3"/>
      <pageSetup orientation="portrait" r:id="rId2"/>
    </customSheetView>
    <customSheetView guid="{BA0BA4AB-C6A1-41FF-8782-C05227E92BEB}" topLeftCell="D1">
      <selection activeCell="H13" sqref="H13"/>
      <pageMargins left="0.7" right="0.7" top="0.75" bottom="0.75" header="0.3" footer="0.3"/>
      <pageSetup orientation="portrait" r:id="rId3"/>
    </customSheetView>
    <customSheetView guid="{52F27401-6741-4136-9223-9843499AE81D}" topLeftCell="N1">
      <selection activeCell="Z13" sqref="Z13"/>
      <pageMargins left="0.7" right="0.7" top="0.75" bottom="0.75" header="0.3" footer="0.3"/>
      <pageSetup orientation="portrait" r:id="rId4"/>
    </customSheetView>
  </customSheetViews>
  <mergeCells count="53">
    <mergeCell ref="D17:K17"/>
    <mergeCell ref="D11:D12"/>
    <mergeCell ref="E11:E12"/>
    <mergeCell ref="H11:H12"/>
    <mergeCell ref="J11:K11"/>
    <mergeCell ref="J12:K12"/>
    <mergeCell ref="M40:T40"/>
    <mergeCell ref="M33:T33"/>
    <mergeCell ref="M34:M35"/>
    <mergeCell ref="N34:N35"/>
    <mergeCell ref="Q34:Q35"/>
    <mergeCell ref="S34:T34"/>
    <mergeCell ref="S35:T35"/>
    <mergeCell ref="D19:E19"/>
    <mergeCell ref="D31:E31"/>
    <mergeCell ref="D41:K41"/>
    <mergeCell ref="D34:K34"/>
    <mergeCell ref="D35:D36"/>
    <mergeCell ref="E35:E36"/>
    <mergeCell ref="H35:H36"/>
    <mergeCell ref="J35:K35"/>
    <mergeCell ref="J36:K36"/>
    <mergeCell ref="D6:E6"/>
    <mergeCell ref="M17:T17"/>
    <mergeCell ref="V10:AC10"/>
    <mergeCell ref="V11:V12"/>
    <mergeCell ref="W11:W12"/>
    <mergeCell ref="Z11:Z12"/>
    <mergeCell ref="AB11:AC11"/>
    <mergeCell ref="AB12:AC12"/>
    <mergeCell ref="V17:AC17"/>
    <mergeCell ref="M10:T10"/>
    <mergeCell ref="M11:M12"/>
    <mergeCell ref="N11:N12"/>
    <mergeCell ref="Q11:Q12"/>
    <mergeCell ref="S11:T11"/>
    <mergeCell ref="S12:T12"/>
    <mergeCell ref="D10:K10"/>
    <mergeCell ref="AE34:AL34"/>
    <mergeCell ref="AE6:AF6"/>
    <mergeCell ref="AE27:AL27"/>
    <mergeCell ref="AE28:AE29"/>
    <mergeCell ref="AF28:AF29"/>
    <mergeCell ref="AI28:AI29"/>
    <mergeCell ref="AK28:AL28"/>
    <mergeCell ref="AK29:AL29"/>
    <mergeCell ref="AE17:AL17"/>
    <mergeCell ref="AE10:AL10"/>
    <mergeCell ref="AE11:AE12"/>
    <mergeCell ref="AF11:AF12"/>
    <mergeCell ref="AI11:AI12"/>
    <mergeCell ref="AK11:AL11"/>
    <mergeCell ref="AK12:AL12"/>
  </mergeCells>
  <pageMargins left="0.7" right="0.7" top="0.75" bottom="0.75" header="0.3" footer="0.3"/>
  <pageSetup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8"/>
  <sheetViews>
    <sheetView topLeftCell="AA70" workbookViewId="0">
      <selection activeCell="AO86" sqref="AO86"/>
    </sheetView>
  </sheetViews>
  <sheetFormatPr defaultRowHeight="14.4"/>
  <cols>
    <col min="1" max="1" width="27.109375" bestFit="1" customWidth="1"/>
    <col min="2" max="2" width="12" bestFit="1" customWidth="1"/>
    <col min="3" max="4" width="15.109375" customWidth="1"/>
    <col min="5" max="5" width="10.44140625" bestFit="1" customWidth="1"/>
    <col min="6" max="6" width="10.88671875" bestFit="1" customWidth="1"/>
    <col min="7" max="8" width="8.5546875" bestFit="1" customWidth="1"/>
    <col min="9" max="10" width="6.109375" bestFit="1" customWidth="1"/>
    <col min="11" max="11" width="10.88671875" customWidth="1"/>
    <col min="12" max="12" width="10.5546875" customWidth="1"/>
    <col min="13" max="18" width="9.33203125" bestFit="1" customWidth="1"/>
    <col min="21" max="23" width="9.33203125" bestFit="1" customWidth="1"/>
    <col min="24" max="24" width="10.6640625" bestFit="1" customWidth="1"/>
    <col min="25" max="28" width="9.33203125" bestFit="1" customWidth="1"/>
    <col min="40" max="40" width="6" customWidth="1"/>
    <col min="41" max="43" width="6" style="916" customWidth="1"/>
    <col min="46" max="46" width="12.6640625" customWidth="1"/>
  </cols>
  <sheetData>
    <row r="1" spans="1:60" ht="36.6">
      <c r="A1" s="900" t="s">
        <v>578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</row>
    <row r="2" spans="1:60" ht="36.6">
      <c r="A2" s="900" t="s">
        <v>154</v>
      </c>
      <c r="B2" s="899"/>
      <c r="C2" s="899"/>
      <c r="D2" s="899"/>
      <c r="E2" s="899"/>
      <c r="F2" s="899"/>
      <c r="G2" s="899"/>
      <c r="H2" s="899"/>
      <c r="I2" s="899"/>
      <c r="J2" s="899"/>
      <c r="K2" s="900" t="s">
        <v>174</v>
      </c>
      <c r="L2" s="899"/>
      <c r="M2" s="899"/>
      <c r="N2" s="899"/>
      <c r="O2" s="899"/>
      <c r="P2" s="899"/>
      <c r="Q2" s="899"/>
      <c r="R2" s="899"/>
      <c r="S2" s="899"/>
      <c r="T2" s="899"/>
      <c r="U2" s="900" t="s">
        <v>175</v>
      </c>
      <c r="V2" s="899"/>
      <c r="W2" s="899"/>
      <c r="X2" s="899"/>
      <c r="Y2" s="899"/>
      <c r="Z2" s="899"/>
      <c r="AA2" s="899"/>
      <c r="AB2" s="899"/>
      <c r="AC2" s="899"/>
      <c r="AD2" s="171" t="s">
        <v>353</v>
      </c>
      <c r="AE2" s="11"/>
      <c r="AF2" s="11"/>
      <c r="AG2" s="11"/>
      <c r="AH2" s="11"/>
      <c r="AI2" s="11"/>
      <c r="AJ2" s="11"/>
      <c r="AK2" s="11"/>
      <c r="AR2" s="171" t="s">
        <v>575</v>
      </c>
      <c r="BA2" s="171" t="s">
        <v>577</v>
      </c>
    </row>
    <row r="3" spans="1:60" ht="15" thickBot="1">
      <c r="A3" s="901" t="s">
        <v>78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899"/>
      <c r="Q3" s="899"/>
      <c r="R3" s="899"/>
      <c r="S3" s="899"/>
      <c r="T3" s="899"/>
      <c r="U3" s="899"/>
      <c r="V3" s="899"/>
      <c r="W3" s="899"/>
      <c r="X3" s="899"/>
      <c r="Y3" s="899"/>
      <c r="Z3" s="899"/>
      <c r="AA3" s="899"/>
      <c r="AB3" s="899"/>
      <c r="AC3" s="899"/>
      <c r="AD3" s="11"/>
      <c r="AE3" s="11"/>
      <c r="AF3" s="11"/>
      <c r="AG3" s="11"/>
      <c r="AH3" s="11"/>
      <c r="AI3" s="11"/>
      <c r="AJ3" s="11"/>
      <c r="AK3" s="11"/>
    </row>
    <row r="4" spans="1:60" ht="36" customHeight="1">
      <c r="A4" s="900" t="s">
        <v>92</v>
      </c>
      <c r="B4" s="899"/>
      <c r="C4" s="899"/>
      <c r="D4" s="899"/>
      <c r="E4" s="899"/>
      <c r="F4" s="899"/>
      <c r="G4" s="899"/>
      <c r="H4" s="899"/>
      <c r="I4" s="899"/>
      <c r="J4" s="899"/>
      <c r="K4" s="900"/>
      <c r="L4" s="899"/>
      <c r="M4" s="899"/>
      <c r="N4" s="899"/>
      <c r="O4" s="899"/>
      <c r="P4" s="899"/>
      <c r="Q4" s="899"/>
      <c r="R4" s="899"/>
      <c r="S4" s="899"/>
      <c r="T4" s="899"/>
      <c r="U4" s="900"/>
      <c r="V4" s="899"/>
      <c r="W4" s="899"/>
      <c r="X4" s="899"/>
      <c r="Y4" s="899"/>
      <c r="Z4" s="899"/>
      <c r="AA4" s="899"/>
      <c r="AB4" s="899"/>
      <c r="AC4" s="899"/>
      <c r="AD4" s="88"/>
      <c r="AE4" s="83"/>
      <c r="AF4" s="83"/>
      <c r="AG4" s="83"/>
      <c r="AH4" s="83"/>
      <c r="AI4" s="83"/>
      <c r="AJ4" s="83"/>
      <c r="AK4" s="83"/>
      <c r="AR4" s="1848" t="s">
        <v>33</v>
      </c>
      <c r="AS4" s="1849"/>
      <c r="BA4" s="1848" t="s">
        <v>33</v>
      </c>
      <c r="BB4" s="1849"/>
    </row>
    <row r="5" spans="1:60" ht="15" customHeight="1">
      <c r="A5" s="901" t="s">
        <v>78</v>
      </c>
      <c r="B5" s="899"/>
      <c r="C5" s="899"/>
      <c r="D5" s="899"/>
      <c r="E5" s="899"/>
      <c r="F5" s="899"/>
      <c r="G5" s="899"/>
      <c r="H5" s="899"/>
      <c r="I5" s="899"/>
      <c r="J5" s="899"/>
      <c r="K5" s="901"/>
      <c r="L5" s="899"/>
      <c r="M5" s="899"/>
      <c r="N5" s="899"/>
      <c r="O5" s="899"/>
      <c r="P5" s="899"/>
      <c r="Q5" s="899"/>
      <c r="R5" s="899"/>
      <c r="S5" s="899"/>
      <c r="T5" s="899"/>
      <c r="U5" s="901"/>
      <c r="V5" s="899"/>
      <c r="W5" s="899"/>
      <c r="X5" s="899"/>
      <c r="Y5" s="899"/>
      <c r="Z5" s="899"/>
      <c r="AA5" s="899"/>
      <c r="AB5" s="899"/>
      <c r="AC5" s="899"/>
      <c r="AD5" s="84"/>
      <c r="AE5" s="83"/>
      <c r="AF5" s="83"/>
      <c r="AG5" s="83"/>
      <c r="AH5" s="83"/>
      <c r="AI5" s="83"/>
      <c r="AJ5" s="83"/>
      <c r="AK5" s="83"/>
      <c r="AR5" s="805" t="s">
        <v>34</v>
      </c>
      <c r="AS5" s="79">
        <v>253</v>
      </c>
      <c r="BA5" s="805" t="s">
        <v>34</v>
      </c>
      <c r="BB5" s="79">
        <v>70</v>
      </c>
    </row>
    <row r="6" spans="1:60" ht="27.6">
      <c r="A6" s="902"/>
      <c r="B6" s="899"/>
      <c r="C6" s="899"/>
      <c r="D6" s="899"/>
      <c r="E6" s="899"/>
      <c r="F6" s="899"/>
      <c r="G6" s="899"/>
      <c r="H6" s="899"/>
      <c r="I6" s="899"/>
      <c r="J6" s="899"/>
      <c r="K6" s="902"/>
      <c r="L6" s="899"/>
      <c r="M6" s="899"/>
      <c r="N6" s="899"/>
      <c r="O6" s="899"/>
      <c r="P6" s="899"/>
      <c r="Q6" s="899"/>
      <c r="R6" s="899"/>
      <c r="S6" s="899"/>
      <c r="T6" s="899"/>
      <c r="U6" s="902"/>
      <c r="V6" s="899"/>
      <c r="W6" s="899"/>
      <c r="X6" s="899"/>
      <c r="Y6" s="899"/>
      <c r="Z6" s="899"/>
      <c r="AA6" s="899"/>
      <c r="AB6" s="899"/>
      <c r="AC6" s="899"/>
      <c r="AD6" s="82"/>
      <c r="AE6" s="83"/>
      <c r="AF6" s="83"/>
      <c r="AG6" s="83"/>
      <c r="AH6" s="83"/>
      <c r="AI6" s="83"/>
      <c r="AJ6" s="83"/>
      <c r="AK6" s="83"/>
      <c r="AR6" s="805" t="s">
        <v>35</v>
      </c>
      <c r="AS6" s="79">
        <v>252887</v>
      </c>
      <c r="BA6" s="805" t="s">
        <v>35</v>
      </c>
      <c r="BB6" s="79">
        <v>70574</v>
      </c>
    </row>
    <row r="7" spans="1:60" ht="15" thickBot="1">
      <c r="A7" s="903"/>
      <c r="B7" s="899"/>
      <c r="C7" s="899"/>
      <c r="D7" s="899"/>
      <c r="E7" s="899"/>
      <c r="F7" s="899"/>
      <c r="G7" s="899"/>
      <c r="H7" s="899"/>
      <c r="I7" s="899"/>
      <c r="J7" s="899"/>
      <c r="K7" s="903"/>
      <c r="L7" s="899"/>
      <c r="M7" s="899"/>
      <c r="N7" s="899"/>
      <c r="O7" s="899"/>
      <c r="P7" s="899"/>
      <c r="Q7" s="899"/>
      <c r="R7" s="899"/>
      <c r="S7" s="899"/>
      <c r="T7" s="899"/>
      <c r="U7" s="903"/>
      <c r="V7" s="899"/>
      <c r="W7" s="899"/>
      <c r="X7" s="899"/>
      <c r="Y7" s="899"/>
      <c r="Z7" s="899"/>
      <c r="AA7" s="899"/>
      <c r="AB7" s="899"/>
      <c r="AC7" s="899"/>
      <c r="AD7" s="85"/>
      <c r="AE7" s="83"/>
      <c r="AF7" s="83"/>
      <c r="AG7" s="83"/>
      <c r="AH7" s="83"/>
      <c r="AI7" s="83"/>
      <c r="AJ7" s="83"/>
      <c r="AK7" s="83"/>
      <c r="AR7" s="843"/>
      <c r="BA7" s="843"/>
    </row>
    <row r="8" spans="1:60" ht="15.75" customHeight="1" thickBot="1">
      <c r="A8" s="904"/>
      <c r="B8" s="899"/>
      <c r="C8" s="899"/>
      <c r="D8" s="899"/>
      <c r="E8" s="899"/>
      <c r="F8" s="899"/>
      <c r="G8" s="899"/>
      <c r="H8" s="899"/>
      <c r="I8" s="899"/>
      <c r="J8" s="899"/>
      <c r="K8" s="904"/>
      <c r="L8" s="899"/>
      <c r="M8" s="899"/>
      <c r="N8" s="899"/>
      <c r="O8" s="899"/>
      <c r="P8" s="899"/>
      <c r="Q8" s="899"/>
      <c r="R8" s="899"/>
      <c r="S8" s="899"/>
      <c r="T8" s="899"/>
      <c r="U8" s="904"/>
      <c r="V8" s="899"/>
      <c r="W8" s="899"/>
      <c r="X8" s="899"/>
      <c r="Y8" s="899"/>
      <c r="Z8" s="899"/>
      <c r="AA8" s="899"/>
      <c r="AB8" s="899"/>
      <c r="AC8" s="899"/>
      <c r="AD8" s="86"/>
      <c r="AE8" s="83"/>
      <c r="AF8" s="83"/>
      <c r="AG8" s="83"/>
      <c r="AH8" s="83"/>
      <c r="AI8" s="83"/>
      <c r="AJ8" s="83"/>
      <c r="AK8" s="83"/>
      <c r="AR8" s="1848" t="s">
        <v>570</v>
      </c>
      <c r="AS8" s="1849"/>
      <c r="AT8" s="1849"/>
      <c r="AU8" s="1849"/>
      <c r="AV8" s="1849"/>
      <c r="AW8" s="1849"/>
      <c r="AX8" s="1849"/>
      <c r="AY8" s="1849"/>
      <c r="BA8" s="1848" t="s">
        <v>570</v>
      </c>
      <c r="BB8" s="1849"/>
      <c r="BC8" s="1849"/>
      <c r="BD8" s="1849"/>
      <c r="BE8" s="1849"/>
      <c r="BF8" s="1849"/>
      <c r="BG8" s="1849"/>
      <c r="BH8" s="1849"/>
    </row>
    <row r="9" spans="1:60" ht="30" customHeight="1">
      <c r="A9" s="1891"/>
      <c r="B9" s="1892"/>
      <c r="C9" s="899"/>
      <c r="D9" s="899"/>
      <c r="E9" s="899"/>
      <c r="F9" s="899"/>
      <c r="G9" s="899"/>
      <c r="H9" s="899"/>
      <c r="I9" s="899"/>
      <c r="J9" s="899"/>
      <c r="K9" s="905"/>
      <c r="L9" s="906"/>
      <c r="M9" s="899"/>
      <c r="N9" s="899"/>
      <c r="O9" s="899"/>
      <c r="P9" s="899"/>
      <c r="Q9" s="899"/>
      <c r="R9" s="899"/>
      <c r="S9" s="899"/>
      <c r="T9" s="899"/>
      <c r="U9" s="905"/>
      <c r="V9" s="906"/>
      <c r="W9" s="899"/>
      <c r="X9" s="899"/>
      <c r="Y9" s="899"/>
      <c r="Z9" s="899"/>
      <c r="AA9" s="899"/>
      <c r="AB9" s="899"/>
      <c r="AC9" s="899"/>
      <c r="AD9" s="515"/>
      <c r="AE9" s="516"/>
      <c r="AF9" s="83"/>
      <c r="AG9" s="83"/>
      <c r="AH9" s="83"/>
      <c r="AI9" s="83"/>
      <c r="AJ9" s="83"/>
      <c r="AK9" s="83"/>
      <c r="AR9" s="1845" t="s">
        <v>571</v>
      </c>
      <c r="AS9" s="1846" t="s">
        <v>2</v>
      </c>
      <c r="AT9" s="815" t="s">
        <v>16</v>
      </c>
      <c r="AU9" s="815" t="s">
        <v>82</v>
      </c>
      <c r="AV9" s="1846" t="s">
        <v>3</v>
      </c>
      <c r="AW9" s="815" t="s">
        <v>84</v>
      </c>
      <c r="AX9" s="1846" t="s">
        <v>85</v>
      </c>
      <c r="AY9" s="1846"/>
      <c r="BA9" s="1845" t="s">
        <v>571</v>
      </c>
      <c r="BB9" s="1846" t="s">
        <v>2</v>
      </c>
      <c r="BC9" s="815" t="s">
        <v>16</v>
      </c>
      <c r="BD9" s="815" t="s">
        <v>82</v>
      </c>
      <c r="BE9" s="1846" t="s">
        <v>3</v>
      </c>
      <c r="BF9" s="815" t="s">
        <v>84</v>
      </c>
      <c r="BG9" s="1846" t="s">
        <v>85</v>
      </c>
      <c r="BH9" s="1846"/>
    </row>
    <row r="10" spans="1:60" ht="27.6">
      <c r="A10" s="907"/>
      <c r="B10" s="908"/>
      <c r="C10" s="899"/>
      <c r="D10" s="899"/>
      <c r="E10" s="899"/>
      <c r="F10" s="899"/>
      <c r="G10" s="899"/>
      <c r="H10" s="899"/>
      <c r="I10" s="899"/>
      <c r="J10" s="899"/>
      <c r="K10" s="907"/>
      <c r="L10" s="908"/>
      <c r="M10" s="899"/>
      <c r="N10" s="899"/>
      <c r="O10" s="899"/>
      <c r="P10" s="899"/>
      <c r="Q10" s="899"/>
      <c r="R10" s="899"/>
      <c r="S10" s="899"/>
      <c r="T10" s="899"/>
      <c r="U10" s="907"/>
      <c r="V10" s="908"/>
      <c r="W10" s="899"/>
      <c r="X10" s="899"/>
      <c r="Y10" s="899"/>
      <c r="Z10" s="899"/>
      <c r="AA10" s="899"/>
      <c r="AB10" s="899"/>
      <c r="AC10" s="899"/>
      <c r="AD10" s="514"/>
      <c r="AE10" s="87"/>
      <c r="AF10" s="83"/>
      <c r="AG10" s="83"/>
      <c r="AH10" s="83"/>
      <c r="AI10" s="83"/>
      <c r="AJ10" s="83"/>
      <c r="AK10" s="83"/>
      <c r="AR10" s="1845"/>
      <c r="AS10" s="1846"/>
      <c r="AT10" s="815" t="s">
        <v>2</v>
      </c>
      <c r="AU10" s="815" t="s">
        <v>83</v>
      </c>
      <c r="AV10" s="1846"/>
      <c r="AW10" s="815" t="s">
        <v>3</v>
      </c>
      <c r="AX10" s="1846" t="s">
        <v>86</v>
      </c>
      <c r="AY10" s="1846"/>
      <c r="BA10" s="1845"/>
      <c r="BB10" s="1846"/>
      <c r="BC10" s="815" t="s">
        <v>2</v>
      </c>
      <c r="BD10" s="815" t="s">
        <v>83</v>
      </c>
      <c r="BE10" s="1846"/>
      <c r="BF10" s="815" t="s">
        <v>3</v>
      </c>
      <c r="BG10" s="1846" t="s">
        <v>86</v>
      </c>
      <c r="BH10" s="1846"/>
    </row>
    <row r="11" spans="1:60">
      <c r="A11" s="907"/>
      <c r="B11" s="908"/>
      <c r="C11" s="899"/>
      <c r="D11" s="899"/>
      <c r="E11" s="899"/>
      <c r="F11" s="899"/>
      <c r="G11" s="899"/>
      <c r="H11" s="899"/>
      <c r="I11" s="899"/>
      <c r="J11" s="899"/>
      <c r="K11" s="907"/>
      <c r="L11" s="908"/>
      <c r="M11" s="899"/>
      <c r="N11" s="899"/>
      <c r="O11" s="899"/>
      <c r="P11" s="899"/>
      <c r="Q11" s="899"/>
      <c r="R11" s="899"/>
      <c r="S11" s="899"/>
      <c r="T11" s="899"/>
      <c r="U11" s="907"/>
      <c r="V11" s="908"/>
      <c r="W11" s="899"/>
      <c r="X11" s="899"/>
      <c r="Y11" s="899"/>
      <c r="Z11" s="899"/>
      <c r="AA11" s="899"/>
      <c r="AB11" s="899"/>
      <c r="AC11" s="899"/>
      <c r="AD11" s="514"/>
      <c r="AE11" s="87"/>
      <c r="AF11" s="83"/>
      <c r="AG11" s="83"/>
      <c r="AH11" s="83"/>
      <c r="AI11" s="83"/>
      <c r="AJ11" s="83"/>
      <c r="AK11" s="83"/>
      <c r="AR11" s="805" t="s">
        <v>303</v>
      </c>
      <c r="AS11" s="79">
        <v>9</v>
      </c>
      <c r="AT11" s="79">
        <v>10496</v>
      </c>
      <c r="AU11" s="79">
        <v>3532</v>
      </c>
      <c r="AV11" s="994">
        <v>4.4646999999999999E-2</v>
      </c>
      <c r="AW11" s="938">
        <v>1.4902E-2</v>
      </c>
      <c r="AX11" s="79">
        <v>2.0038999999999998</v>
      </c>
      <c r="AY11" s="79">
        <v>6.9255000000000004</v>
      </c>
      <c r="BA11" s="805" t="s">
        <v>303</v>
      </c>
      <c r="BB11" s="79">
        <v>4</v>
      </c>
      <c r="BC11" s="79">
        <v>4059</v>
      </c>
      <c r="BD11" s="79">
        <v>2007</v>
      </c>
      <c r="BE11" s="994">
        <v>6.0277999999999998E-2</v>
      </c>
      <c r="BF11" s="938">
        <v>2.9786E-2</v>
      </c>
      <c r="BG11" s="79">
        <v>1.0586</v>
      </c>
      <c r="BH11" s="79">
        <v>10.997</v>
      </c>
    </row>
    <row r="12" spans="1:60" ht="15" customHeight="1" thickBot="1">
      <c r="A12" s="904"/>
      <c r="B12" s="899"/>
      <c r="C12" s="899"/>
      <c r="D12" s="899"/>
      <c r="E12" s="899"/>
      <c r="F12" s="899"/>
      <c r="G12" s="899"/>
      <c r="H12" s="899"/>
      <c r="I12" s="899"/>
      <c r="J12" s="899"/>
      <c r="K12" s="904"/>
      <c r="L12" s="899"/>
      <c r="M12" s="899"/>
      <c r="N12" s="899"/>
      <c r="O12" s="899"/>
      <c r="P12" s="899"/>
      <c r="Q12" s="899"/>
      <c r="R12" s="899"/>
      <c r="S12" s="899"/>
      <c r="T12" s="899"/>
      <c r="U12" s="904"/>
      <c r="V12" s="899"/>
      <c r="W12" s="899"/>
      <c r="X12" s="899"/>
      <c r="Y12" s="899"/>
      <c r="Z12" s="899"/>
      <c r="AA12" s="899"/>
      <c r="AB12" s="899"/>
      <c r="AC12" s="899"/>
      <c r="AD12" s="86"/>
      <c r="AE12" s="83"/>
      <c r="AF12" s="83"/>
      <c r="AG12" s="83"/>
      <c r="AH12" s="83"/>
      <c r="AI12" s="83"/>
      <c r="AJ12" s="83"/>
      <c r="AK12" s="83"/>
      <c r="AR12" s="805" t="s">
        <v>572</v>
      </c>
      <c r="AS12" s="79">
        <v>76</v>
      </c>
      <c r="AT12" s="79">
        <v>75929</v>
      </c>
      <c r="AU12" s="79">
        <v>7405</v>
      </c>
      <c r="AV12" s="994">
        <v>0.32297799999999999</v>
      </c>
      <c r="AW12" s="938">
        <v>3.1143000000000001E-2</v>
      </c>
      <c r="AX12" s="79">
        <v>27.154900000000001</v>
      </c>
      <c r="AY12" s="79">
        <v>37.440800000000003</v>
      </c>
      <c r="BA12" s="805" t="s">
        <v>572</v>
      </c>
      <c r="BB12" s="79">
        <v>12</v>
      </c>
      <c r="BC12" s="79">
        <v>11134</v>
      </c>
      <c r="BD12" s="79">
        <v>3003</v>
      </c>
      <c r="BE12" s="994">
        <v>0.16534499999999999</v>
      </c>
      <c r="BF12" s="938">
        <v>4.5196E-2</v>
      </c>
      <c r="BG12" s="79">
        <v>8.9946000000000002</v>
      </c>
      <c r="BH12" s="79">
        <v>24.074400000000001</v>
      </c>
    </row>
    <row r="13" spans="1:60" ht="15" customHeight="1">
      <c r="A13" s="905" t="s">
        <v>90</v>
      </c>
      <c r="B13" s="906"/>
      <c r="C13" s="906"/>
      <c r="D13" s="906"/>
      <c r="E13" s="906"/>
      <c r="F13" s="906"/>
      <c r="G13" s="906"/>
      <c r="H13" s="906"/>
      <c r="I13" s="899"/>
      <c r="J13" s="899"/>
      <c r="K13" s="905" t="s">
        <v>90</v>
      </c>
      <c r="L13" s="906"/>
      <c r="M13" s="906"/>
      <c r="N13" s="906"/>
      <c r="O13" s="906"/>
      <c r="P13" s="906"/>
      <c r="Q13" s="906"/>
      <c r="R13" s="906"/>
      <c r="S13" s="899"/>
      <c r="T13" s="899"/>
      <c r="U13" s="905" t="s">
        <v>90</v>
      </c>
      <c r="V13" s="906"/>
      <c r="W13" s="906"/>
      <c r="X13" s="906"/>
      <c r="Y13" s="906"/>
      <c r="Z13" s="906"/>
      <c r="AA13" s="906"/>
      <c r="AB13" s="906"/>
      <c r="AC13" s="899"/>
      <c r="AD13" s="515" t="s">
        <v>90</v>
      </c>
      <c r="AE13" s="516"/>
      <c r="AF13" s="516"/>
      <c r="AG13" s="516"/>
      <c r="AH13" s="516"/>
      <c r="AI13" s="516"/>
      <c r="AJ13" s="516"/>
      <c r="AK13" s="516"/>
      <c r="AR13" s="805" t="s">
        <v>573</v>
      </c>
      <c r="AS13" s="79">
        <v>61</v>
      </c>
      <c r="AT13" s="79">
        <v>59381</v>
      </c>
      <c r="AU13" s="79">
        <v>6711</v>
      </c>
      <c r="AV13" s="994">
        <v>0.25258799999999998</v>
      </c>
      <c r="AW13" s="938">
        <v>2.8632999999999999E-2</v>
      </c>
      <c r="AX13" s="79">
        <v>20.5306</v>
      </c>
      <c r="AY13" s="79">
        <v>29.987100000000002</v>
      </c>
      <c r="BA13" s="805" t="s">
        <v>573</v>
      </c>
      <c r="BB13" s="79">
        <v>34</v>
      </c>
      <c r="BC13" s="79">
        <v>33627</v>
      </c>
      <c r="BD13" s="79">
        <v>4245</v>
      </c>
      <c r="BE13" s="994">
        <v>0.49937599999999999</v>
      </c>
      <c r="BF13" s="938">
        <v>6.3030000000000003E-2</v>
      </c>
      <c r="BG13" s="79">
        <v>39.422499999999999</v>
      </c>
      <c r="BH13" s="79">
        <v>60.4527</v>
      </c>
    </row>
    <row r="14" spans="1:60" ht="45" customHeight="1">
      <c r="A14" s="907" t="s">
        <v>91</v>
      </c>
      <c r="B14" s="909" t="s">
        <v>2</v>
      </c>
      <c r="C14" s="909" t="s">
        <v>16</v>
      </c>
      <c r="D14" s="909" t="s">
        <v>82</v>
      </c>
      <c r="E14" s="909" t="s">
        <v>3</v>
      </c>
      <c r="F14" s="909" t="s">
        <v>84</v>
      </c>
      <c r="G14" s="909" t="s">
        <v>85</v>
      </c>
      <c r="H14" s="909"/>
      <c r="I14" s="899"/>
      <c r="J14" s="899"/>
      <c r="K14" s="907" t="s">
        <v>91</v>
      </c>
      <c r="L14" s="909" t="s">
        <v>2</v>
      </c>
      <c r="M14" s="909" t="s">
        <v>16</v>
      </c>
      <c r="N14" s="909" t="s">
        <v>82</v>
      </c>
      <c r="O14" s="909" t="s">
        <v>3</v>
      </c>
      <c r="P14" s="909" t="s">
        <v>84</v>
      </c>
      <c r="Q14" s="909" t="s">
        <v>85</v>
      </c>
      <c r="R14" s="909"/>
      <c r="S14" s="899"/>
      <c r="T14" s="899"/>
      <c r="U14" s="907" t="s">
        <v>91</v>
      </c>
      <c r="V14" s="909" t="s">
        <v>2</v>
      </c>
      <c r="W14" s="909" t="s">
        <v>16</v>
      </c>
      <c r="X14" s="909" t="s">
        <v>82</v>
      </c>
      <c r="Y14" s="909" t="s">
        <v>3</v>
      </c>
      <c r="Z14" s="909" t="s">
        <v>84</v>
      </c>
      <c r="AA14" s="909" t="s">
        <v>85</v>
      </c>
      <c r="AB14" s="909"/>
      <c r="AC14" s="899"/>
      <c r="AD14" s="514" t="s">
        <v>91</v>
      </c>
      <c r="AE14" s="161" t="s">
        <v>2</v>
      </c>
      <c r="AF14" s="161" t="s">
        <v>16</v>
      </c>
      <c r="AG14" s="161" t="s">
        <v>82</v>
      </c>
      <c r="AH14" s="161" t="s">
        <v>3</v>
      </c>
      <c r="AI14" s="161" t="s">
        <v>84</v>
      </c>
      <c r="AJ14" s="161" t="s">
        <v>85</v>
      </c>
      <c r="AK14" s="161"/>
      <c r="AR14" s="805" t="s">
        <v>574</v>
      </c>
      <c r="AS14" s="79">
        <v>90</v>
      </c>
      <c r="AT14" s="79">
        <v>89284</v>
      </c>
      <c r="AU14" s="79">
        <v>7629</v>
      </c>
      <c r="AV14" s="994">
        <v>0.37978600000000001</v>
      </c>
      <c r="AW14" s="938">
        <v>3.2230000000000002E-2</v>
      </c>
      <c r="AX14" s="79">
        <v>32.656300000000002</v>
      </c>
      <c r="AY14" s="79">
        <v>43.301000000000002</v>
      </c>
      <c r="BA14" s="805" t="s">
        <v>574</v>
      </c>
      <c r="BB14" s="79">
        <v>17</v>
      </c>
      <c r="BC14" s="79">
        <v>18518</v>
      </c>
      <c r="BD14" s="79">
        <v>4067</v>
      </c>
      <c r="BE14" s="994">
        <v>0.275001</v>
      </c>
      <c r="BF14" s="938">
        <v>5.7956000000000001E-2</v>
      </c>
      <c r="BG14" s="79">
        <v>17.831399999999999</v>
      </c>
      <c r="BH14" s="79">
        <v>37.168799999999997</v>
      </c>
    </row>
    <row r="15" spans="1:60" ht="15" customHeight="1">
      <c r="A15" s="907"/>
      <c r="B15" s="909"/>
      <c r="C15" s="909" t="s">
        <v>2</v>
      </c>
      <c r="D15" s="909" t="s">
        <v>83</v>
      </c>
      <c r="E15" s="909"/>
      <c r="F15" s="909" t="s">
        <v>3</v>
      </c>
      <c r="G15" s="909" t="s">
        <v>86</v>
      </c>
      <c r="H15" s="909"/>
      <c r="I15" s="899"/>
      <c r="J15" s="899"/>
      <c r="K15" s="907"/>
      <c r="L15" s="909"/>
      <c r="M15" s="909" t="s">
        <v>2</v>
      </c>
      <c r="N15" s="909" t="s">
        <v>83</v>
      </c>
      <c r="O15" s="909"/>
      <c r="P15" s="909" t="s">
        <v>3</v>
      </c>
      <c r="Q15" s="909" t="s">
        <v>86</v>
      </c>
      <c r="R15" s="909"/>
      <c r="S15" s="899"/>
      <c r="T15" s="899"/>
      <c r="U15" s="907"/>
      <c r="V15" s="909"/>
      <c r="W15" s="909" t="s">
        <v>2</v>
      </c>
      <c r="X15" s="909" t="s">
        <v>83</v>
      </c>
      <c r="Y15" s="909"/>
      <c r="Z15" s="909" t="s">
        <v>3</v>
      </c>
      <c r="AA15" s="909" t="s">
        <v>86</v>
      </c>
      <c r="AB15" s="909"/>
      <c r="AC15" s="899"/>
      <c r="AD15" s="514"/>
      <c r="AE15" s="161"/>
      <c r="AF15" s="161" t="s">
        <v>2</v>
      </c>
      <c r="AG15" s="161" t="s">
        <v>83</v>
      </c>
      <c r="AH15" s="161"/>
      <c r="AI15" s="161" t="s">
        <v>3</v>
      </c>
      <c r="AJ15" s="161" t="s">
        <v>86</v>
      </c>
      <c r="AK15" s="161"/>
      <c r="AR15" s="805" t="s">
        <v>5</v>
      </c>
      <c r="AS15" s="79">
        <v>236</v>
      </c>
      <c r="AT15" s="79">
        <v>235090</v>
      </c>
      <c r="AU15" s="79">
        <v>3049</v>
      </c>
      <c r="AV15" s="79">
        <v>100</v>
      </c>
      <c r="AW15" s="79"/>
      <c r="AX15" s="79"/>
      <c r="AY15" s="79"/>
      <c r="BA15" s="805" t="s">
        <v>5</v>
      </c>
      <c r="BB15" s="79">
        <v>67</v>
      </c>
      <c r="BC15" s="79">
        <v>67338</v>
      </c>
      <c r="BD15" s="79">
        <v>1832</v>
      </c>
      <c r="BE15" s="939">
        <v>1</v>
      </c>
      <c r="BF15" s="79"/>
      <c r="BG15" s="79"/>
      <c r="BH15" s="79"/>
    </row>
    <row r="16" spans="1:60" ht="15" customHeight="1">
      <c r="A16" s="907">
        <v>1</v>
      </c>
      <c r="B16" s="908">
        <v>6</v>
      </c>
      <c r="C16" s="908">
        <v>64238</v>
      </c>
      <c r="D16" s="908">
        <v>25233</v>
      </c>
      <c r="E16" s="910">
        <v>11.7666</v>
      </c>
      <c r="F16" s="908">
        <v>4.6958000000000002</v>
      </c>
      <c r="G16" s="908">
        <v>3.8765999999999998</v>
      </c>
      <c r="H16" s="908">
        <v>19.656600000000001</v>
      </c>
      <c r="I16" s="899"/>
      <c r="J16" s="899"/>
      <c r="K16" s="904"/>
      <c r="L16" s="899"/>
      <c r="M16" s="899"/>
      <c r="N16" s="899"/>
      <c r="O16" s="899"/>
      <c r="P16" s="899"/>
      <c r="Q16" s="899"/>
      <c r="R16" s="899"/>
      <c r="S16" s="899"/>
      <c r="T16" s="899"/>
      <c r="U16" s="907">
        <v>1</v>
      </c>
      <c r="V16" s="908">
        <v>3</v>
      </c>
      <c r="W16" s="908">
        <v>4428</v>
      </c>
      <c r="X16" s="908">
        <v>1980</v>
      </c>
      <c r="Y16" s="910">
        <v>53.627200000000002</v>
      </c>
      <c r="Z16" s="908">
        <v>22.245899999999999</v>
      </c>
      <c r="AA16" s="908">
        <v>8.8005999999999993</v>
      </c>
      <c r="AB16" s="908">
        <v>98.453800000000001</v>
      </c>
      <c r="AC16" s="899"/>
      <c r="AD16" s="514"/>
      <c r="AE16" s="87"/>
      <c r="AF16" s="87"/>
      <c r="AG16" s="87"/>
      <c r="AH16" s="170"/>
      <c r="AI16" s="87"/>
      <c r="AJ16" s="87"/>
      <c r="AK16" s="87"/>
      <c r="AR16" s="1845" t="s">
        <v>576</v>
      </c>
      <c r="AS16" s="1847"/>
      <c r="AT16" s="1847"/>
      <c r="AU16" s="1847"/>
      <c r="AV16" s="1847"/>
      <c r="AW16" s="1847"/>
      <c r="AX16" s="1847"/>
      <c r="AY16" s="1847"/>
      <c r="BA16" s="1845" t="s">
        <v>163</v>
      </c>
      <c r="BB16" s="1847"/>
      <c r="BC16" s="1847"/>
      <c r="BD16" s="1847"/>
      <c r="BE16" s="1847"/>
      <c r="BF16" s="1847"/>
      <c r="BG16" s="1847"/>
      <c r="BH16" s="1847"/>
    </row>
    <row r="17" spans="1:37">
      <c r="A17" s="907">
        <v>2</v>
      </c>
      <c r="B17" s="908">
        <v>9</v>
      </c>
      <c r="C17" s="908">
        <v>115242</v>
      </c>
      <c r="D17" s="908">
        <v>35798</v>
      </c>
      <c r="E17" s="910">
        <v>21.109100000000002</v>
      </c>
      <c r="F17" s="908">
        <v>6.4302000000000001</v>
      </c>
      <c r="G17" s="908">
        <v>10.3049</v>
      </c>
      <c r="H17" s="908">
        <v>31.9133</v>
      </c>
      <c r="I17" s="899"/>
      <c r="J17" s="899"/>
      <c r="K17" s="907">
        <v>2</v>
      </c>
      <c r="L17" s="908">
        <v>12</v>
      </c>
      <c r="M17" s="908">
        <v>10998</v>
      </c>
      <c r="N17" s="908">
        <v>2829</v>
      </c>
      <c r="O17" s="910">
        <v>23.064299999999999</v>
      </c>
      <c r="P17" s="908">
        <v>6.0068000000000001</v>
      </c>
      <c r="Q17" s="908">
        <v>12.993600000000001</v>
      </c>
      <c r="R17" s="908">
        <v>33.135100000000001</v>
      </c>
      <c r="S17" s="899"/>
      <c r="T17" s="899"/>
      <c r="U17" s="907">
        <v>2</v>
      </c>
      <c r="V17" s="908">
        <v>1</v>
      </c>
      <c r="W17" s="908">
        <v>1297</v>
      </c>
      <c r="X17" s="908">
        <v>1297</v>
      </c>
      <c r="Y17" s="910">
        <v>15.7079</v>
      </c>
      <c r="Z17" s="908">
        <v>15.896100000000001</v>
      </c>
      <c r="AA17" s="908">
        <v>0</v>
      </c>
      <c r="AB17" s="908">
        <v>47.7393</v>
      </c>
      <c r="AC17" s="899"/>
      <c r="AD17" s="514">
        <v>2</v>
      </c>
      <c r="AE17" s="87">
        <v>3</v>
      </c>
      <c r="AF17" s="87">
        <v>2869</v>
      </c>
      <c r="AG17" s="87">
        <v>1600</v>
      </c>
      <c r="AH17" s="170">
        <v>16.502700000000001</v>
      </c>
      <c r="AI17" s="87">
        <v>9.1782000000000004</v>
      </c>
      <c r="AJ17" s="87">
        <v>0.5363</v>
      </c>
      <c r="AK17" s="87">
        <v>32.469200000000001</v>
      </c>
    </row>
    <row r="18" spans="1:37">
      <c r="A18" s="907">
        <v>3</v>
      </c>
      <c r="B18" s="908">
        <v>11</v>
      </c>
      <c r="C18" s="908">
        <v>135984</v>
      </c>
      <c r="D18" s="908">
        <v>37196</v>
      </c>
      <c r="E18" s="910">
        <v>24.9086</v>
      </c>
      <c r="F18" s="908">
        <v>6.7232000000000003</v>
      </c>
      <c r="G18" s="908">
        <v>13.612</v>
      </c>
      <c r="H18" s="908">
        <v>36.205199999999998</v>
      </c>
      <c r="I18" s="899"/>
      <c r="J18" s="899"/>
      <c r="K18" s="907">
        <v>3</v>
      </c>
      <c r="L18" s="908">
        <v>25</v>
      </c>
      <c r="M18" s="908">
        <v>24235</v>
      </c>
      <c r="N18" s="908">
        <v>3614</v>
      </c>
      <c r="O18" s="910">
        <v>50.824199999999998</v>
      </c>
      <c r="P18" s="908">
        <v>7.2729999999999997</v>
      </c>
      <c r="Q18" s="908">
        <v>38.630699999999997</v>
      </c>
      <c r="R18" s="908">
        <v>63.017699999999998</v>
      </c>
      <c r="S18" s="899"/>
      <c r="T18" s="899"/>
      <c r="U18" s="907">
        <v>3</v>
      </c>
      <c r="V18" s="908"/>
      <c r="W18" s="908"/>
      <c r="X18" s="908"/>
      <c r="Y18" s="910"/>
      <c r="Z18" s="908"/>
      <c r="AA18" s="908"/>
      <c r="AB18" s="908"/>
      <c r="AC18" s="899"/>
      <c r="AD18" s="514">
        <v>3</v>
      </c>
      <c r="AE18" s="87">
        <v>2</v>
      </c>
      <c r="AF18" s="87">
        <v>2302</v>
      </c>
      <c r="AG18" s="87">
        <v>1648</v>
      </c>
      <c r="AH18" s="170">
        <v>13.241300000000001</v>
      </c>
      <c r="AI18" s="87">
        <v>9.1913</v>
      </c>
      <c r="AJ18" s="87">
        <v>0</v>
      </c>
      <c r="AK18" s="87">
        <v>29.230599999999999</v>
      </c>
    </row>
    <row r="19" spans="1:37" ht="15" customHeight="1">
      <c r="A19" s="907">
        <v>4</v>
      </c>
      <c r="B19" s="908">
        <v>19</v>
      </c>
      <c r="C19" s="908">
        <v>230470</v>
      </c>
      <c r="D19" s="908">
        <v>42417</v>
      </c>
      <c r="E19" s="910">
        <v>42.215699999999998</v>
      </c>
      <c r="F19" s="908">
        <v>7.6356000000000002</v>
      </c>
      <c r="G19" s="908">
        <v>29.386099999999999</v>
      </c>
      <c r="H19" s="908">
        <v>55.045299999999997</v>
      </c>
      <c r="I19" s="899"/>
      <c r="J19" s="899"/>
      <c r="K19" s="907">
        <v>4</v>
      </c>
      <c r="L19" s="908">
        <v>13</v>
      </c>
      <c r="M19" s="908">
        <v>12451</v>
      </c>
      <c r="N19" s="908">
        <v>3079</v>
      </c>
      <c r="O19" s="910">
        <v>26.111499999999999</v>
      </c>
      <c r="P19" s="908">
        <v>6.4034000000000004</v>
      </c>
      <c r="Q19" s="908">
        <v>15.3759</v>
      </c>
      <c r="R19" s="908">
        <v>36.847099999999998</v>
      </c>
      <c r="S19" s="899"/>
      <c r="T19" s="899"/>
      <c r="U19" s="907">
        <v>4</v>
      </c>
      <c r="V19" s="908">
        <v>2</v>
      </c>
      <c r="W19" s="908">
        <v>2532</v>
      </c>
      <c r="X19" s="908">
        <v>1602</v>
      </c>
      <c r="Y19" s="910">
        <v>30.664899999999999</v>
      </c>
      <c r="Z19" s="908">
        <v>20.1843</v>
      </c>
      <c r="AA19" s="908">
        <v>0</v>
      </c>
      <c r="AB19" s="908">
        <v>71.337299999999999</v>
      </c>
      <c r="AC19" s="899"/>
      <c r="AD19" s="514">
        <v>4</v>
      </c>
      <c r="AE19" s="87">
        <v>13</v>
      </c>
      <c r="AF19" s="87">
        <v>12214</v>
      </c>
      <c r="AG19" s="87">
        <v>1941</v>
      </c>
      <c r="AH19" s="170">
        <v>70.256</v>
      </c>
      <c r="AI19" s="87">
        <v>11.6571</v>
      </c>
      <c r="AJ19" s="87">
        <v>49.9771</v>
      </c>
      <c r="AK19" s="87">
        <v>90.534800000000004</v>
      </c>
    </row>
    <row r="20" spans="1:37">
      <c r="A20" s="907" t="s">
        <v>5</v>
      </c>
      <c r="B20" s="908">
        <v>45</v>
      </c>
      <c r="C20" s="908">
        <v>545933</v>
      </c>
      <c r="D20" s="908">
        <v>18717</v>
      </c>
      <c r="E20" s="908">
        <v>100</v>
      </c>
      <c r="F20" s="908"/>
      <c r="G20" s="908"/>
      <c r="H20" s="908"/>
      <c r="I20" s="899"/>
      <c r="J20" s="899"/>
      <c r="K20" s="907" t="s">
        <v>5</v>
      </c>
      <c r="L20" s="908">
        <v>50</v>
      </c>
      <c r="M20" s="908">
        <v>47684</v>
      </c>
      <c r="N20" s="908">
        <v>1325</v>
      </c>
      <c r="O20" s="910">
        <v>100</v>
      </c>
      <c r="P20" s="908"/>
      <c r="Q20" s="908"/>
      <c r="R20" s="908"/>
      <c r="S20" s="899"/>
      <c r="T20" s="899"/>
      <c r="U20" s="907" t="s">
        <v>5</v>
      </c>
      <c r="V20" s="908">
        <v>6</v>
      </c>
      <c r="W20" s="908">
        <v>8257</v>
      </c>
      <c r="X20" s="908">
        <v>273.56060000000002</v>
      </c>
      <c r="Y20" s="910">
        <v>100</v>
      </c>
      <c r="Z20" s="908"/>
      <c r="AA20" s="908"/>
      <c r="AB20" s="908"/>
      <c r="AC20" s="899"/>
      <c r="AD20" s="514" t="s">
        <v>5</v>
      </c>
      <c r="AE20" s="87">
        <v>18</v>
      </c>
      <c r="AF20" s="87">
        <v>17385</v>
      </c>
      <c r="AG20" s="87">
        <v>914.54511000000002</v>
      </c>
      <c r="AH20" s="170">
        <v>100</v>
      </c>
      <c r="AI20" s="87"/>
      <c r="AJ20" s="87"/>
      <c r="AK20" s="87"/>
    </row>
    <row r="21" spans="1:37" ht="15" thickBot="1">
      <c r="A21" s="904"/>
      <c r="B21" s="899"/>
      <c r="C21" s="899"/>
      <c r="D21" s="899"/>
      <c r="E21" s="899"/>
      <c r="F21" s="899"/>
      <c r="G21" s="899"/>
      <c r="H21" s="899"/>
      <c r="I21" s="899"/>
      <c r="J21" s="899"/>
      <c r="K21" s="904"/>
      <c r="L21" s="899"/>
      <c r="M21" s="899"/>
      <c r="N21" s="899"/>
      <c r="O21" s="899"/>
      <c r="P21" s="899"/>
      <c r="Q21" s="899"/>
      <c r="R21" s="899"/>
      <c r="S21" s="899"/>
      <c r="T21" s="899"/>
      <c r="U21" s="904"/>
      <c r="V21" s="899"/>
      <c r="W21" s="899"/>
      <c r="X21" s="899"/>
      <c r="Y21" s="899"/>
      <c r="Z21" s="899"/>
      <c r="AA21" s="899"/>
      <c r="AB21" s="899"/>
      <c r="AC21" s="899"/>
      <c r="AD21" s="86"/>
      <c r="AE21" s="83"/>
      <c r="AF21" s="83"/>
      <c r="AG21" s="83"/>
      <c r="AH21" s="83"/>
      <c r="AI21" s="83"/>
      <c r="AJ21" s="83"/>
      <c r="AK21" s="83"/>
    </row>
    <row r="22" spans="1:37" ht="15" customHeight="1">
      <c r="A22" s="905" t="s">
        <v>6</v>
      </c>
      <c r="B22" s="906"/>
      <c r="C22" s="899"/>
      <c r="D22" s="899"/>
      <c r="E22" s="899"/>
      <c r="F22" s="899"/>
      <c r="G22" s="899"/>
      <c r="H22" s="899"/>
      <c r="I22" s="899"/>
      <c r="J22" s="899"/>
      <c r="K22" s="899"/>
      <c r="L22" s="899"/>
      <c r="M22" s="899"/>
      <c r="N22" s="899"/>
      <c r="O22" s="899"/>
      <c r="P22" s="899"/>
      <c r="Q22" s="899"/>
      <c r="R22" s="899"/>
      <c r="S22" s="899"/>
      <c r="T22" s="899"/>
      <c r="U22" s="899"/>
      <c r="V22" s="899"/>
      <c r="W22" s="899"/>
      <c r="X22" s="899"/>
      <c r="Y22" s="899"/>
      <c r="Z22" s="899"/>
      <c r="AA22" s="899"/>
      <c r="AB22" s="899"/>
      <c r="AC22" s="899"/>
    </row>
    <row r="23" spans="1:37" ht="15" customHeight="1">
      <c r="A23" s="907" t="s">
        <v>7</v>
      </c>
      <c r="B23" s="908">
        <v>7.2666000000000004</v>
      </c>
      <c r="C23" s="899"/>
      <c r="D23" s="899"/>
      <c r="E23" s="899"/>
      <c r="F23" s="899"/>
      <c r="G23" s="899"/>
      <c r="H23" s="899"/>
      <c r="I23" s="899"/>
      <c r="J23" s="899"/>
      <c r="K23" s="899"/>
      <c r="L23" s="899"/>
      <c r="M23" s="899"/>
      <c r="N23" s="899"/>
      <c r="O23" s="899"/>
      <c r="P23" s="899"/>
      <c r="Q23" s="899"/>
      <c r="R23" s="899"/>
      <c r="S23" s="899"/>
      <c r="T23" s="899"/>
      <c r="U23" s="903" t="s">
        <v>567</v>
      </c>
      <c r="V23" s="899"/>
      <c r="W23" s="899"/>
      <c r="X23" s="899"/>
      <c r="Y23" s="899"/>
      <c r="Z23" s="899"/>
      <c r="AA23" s="899"/>
      <c r="AB23" s="899"/>
      <c r="AC23" s="899"/>
    </row>
    <row r="24" spans="1:37" ht="15" thickBot="1">
      <c r="A24" s="907" t="s">
        <v>8</v>
      </c>
      <c r="B24" s="908">
        <v>1.0371999999999999</v>
      </c>
      <c r="C24" s="899"/>
      <c r="D24" s="899"/>
      <c r="E24" s="899"/>
      <c r="F24" s="899"/>
      <c r="G24" s="899"/>
      <c r="H24" s="899"/>
      <c r="I24" s="899"/>
      <c r="J24" s="899"/>
      <c r="K24" s="899"/>
      <c r="L24" s="899"/>
      <c r="M24" s="899"/>
      <c r="N24" s="899"/>
      <c r="O24" s="899"/>
      <c r="P24" s="899"/>
      <c r="Q24" s="899"/>
      <c r="R24" s="899"/>
      <c r="S24" s="899"/>
      <c r="T24" s="899"/>
      <c r="U24" s="899"/>
      <c r="V24" s="899"/>
      <c r="W24" s="899"/>
      <c r="X24" s="899"/>
      <c r="Y24" s="899"/>
      <c r="Z24" s="899"/>
      <c r="AA24" s="899"/>
      <c r="AB24" s="899"/>
      <c r="AC24" s="899"/>
    </row>
    <row r="25" spans="1:37" ht="15" customHeight="1">
      <c r="A25" s="907"/>
      <c r="B25" s="908"/>
      <c r="C25" s="899"/>
      <c r="D25" s="899"/>
      <c r="E25" s="899"/>
      <c r="F25" s="899"/>
      <c r="G25" s="899"/>
      <c r="H25" s="899"/>
      <c r="I25" s="899"/>
      <c r="J25" s="899"/>
      <c r="K25" s="899"/>
      <c r="L25" s="899"/>
      <c r="M25" s="899"/>
      <c r="N25" s="899"/>
      <c r="O25" s="899"/>
      <c r="P25" s="899"/>
      <c r="Q25" s="899"/>
      <c r="R25" s="899"/>
      <c r="S25" s="899"/>
      <c r="T25" s="899"/>
      <c r="U25" s="1891" t="s">
        <v>94</v>
      </c>
      <c r="V25" s="1892"/>
      <c r="W25" s="1892"/>
      <c r="X25" s="1892"/>
      <c r="Y25" s="1892"/>
      <c r="Z25" s="1892"/>
      <c r="AA25" s="1892"/>
      <c r="AB25" s="1892"/>
      <c r="AC25" s="899"/>
    </row>
    <row r="26" spans="1:37" ht="30" customHeight="1">
      <c r="A26" s="907" t="s">
        <v>9</v>
      </c>
      <c r="B26" s="908">
        <v>7.0058999999999996</v>
      </c>
      <c r="C26" s="899"/>
      <c r="D26" s="899"/>
      <c r="E26" s="899"/>
      <c r="F26" s="899"/>
      <c r="G26" s="899"/>
      <c r="H26" s="899"/>
      <c r="I26" s="899"/>
      <c r="J26" s="899"/>
      <c r="K26" s="899"/>
      <c r="L26" s="899"/>
      <c r="M26" s="899"/>
      <c r="N26" s="899"/>
      <c r="O26" s="899"/>
      <c r="P26" s="899"/>
      <c r="Q26" s="899"/>
      <c r="R26" s="899"/>
      <c r="S26" s="899"/>
      <c r="T26" s="899"/>
      <c r="U26" s="1893" t="s">
        <v>95</v>
      </c>
      <c r="V26" s="1890" t="s">
        <v>2</v>
      </c>
      <c r="W26" s="909" t="s">
        <v>16</v>
      </c>
      <c r="X26" s="909" t="s">
        <v>82</v>
      </c>
      <c r="Y26" s="1890" t="s">
        <v>3</v>
      </c>
      <c r="Z26" s="909" t="s">
        <v>84</v>
      </c>
      <c r="AA26" s="1890" t="s">
        <v>85</v>
      </c>
      <c r="AB26" s="1890"/>
      <c r="AC26" s="899"/>
    </row>
    <row r="27" spans="1:37" ht="27.6">
      <c r="A27" s="907" t="s">
        <v>10</v>
      </c>
      <c r="B27" s="908">
        <v>3</v>
      </c>
      <c r="C27" s="899"/>
      <c r="D27" s="899"/>
      <c r="E27" s="899"/>
      <c r="F27" s="899"/>
      <c r="G27" s="899"/>
      <c r="H27" s="899"/>
      <c r="I27" s="899"/>
      <c r="J27" s="899"/>
      <c r="K27" s="899"/>
      <c r="L27" s="899"/>
      <c r="M27" s="899"/>
      <c r="N27" s="899"/>
      <c r="O27" s="899"/>
      <c r="P27" s="899"/>
      <c r="Q27" s="899"/>
      <c r="R27" s="899"/>
      <c r="S27" s="899"/>
      <c r="T27" s="899"/>
      <c r="U27" s="1893"/>
      <c r="V27" s="1890"/>
      <c r="W27" s="909" t="s">
        <v>2</v>
      </c>
      <c r="X27" s="909" t="s">
        <v>83</v>
      </c>
      <c r="Y27" s="1890"/>
      <c r="Z27" s="909" t="s">
        <v>3</v>
      </c>
      <c r="AA27" s="1890" t="s">
        <v>86</v>
      </c>
      <c r="AB27" s="1890"/>
      <c r="AC27" s="899"/>
      <c r="AF27" s="1001" t="s">
        <v>506</v>
      </c>
      <c r="AG27" s="1001"/>
      <c r="AH27" s="1001"/>
    </row>
    <row r="28" spans="1:37" ht="15" customHeight="1">
      <c r="A28" s="907" t="s">
        <v>11</v>
      </c>
      <c r="B28" s="908">
        <v>7.17E-2</v>
      </c>
      <c r="C28" s="899"/>
      <c r="D28" s="899"/>
      <c r="E28" s="899"/>
      <c r="F28" s="899"/>
      <c r="G28" s="899"/>
      <c r="H28" s="899"/>
      <c r="I28" s="899"/>
      <c r="J28" s="899"/>
      <c r="K28" s="899"/>
      <c r="L28" s="899"/>
      <c r="M28" s="899"/>
      <c r="N28" s="899"/>
      <c r="O28" s="899"/>
      <c r="P28" s="899"/>
      <c r="Q28" s="899"/>
      <c r="R28" s="899"/>
      <c r="S28" s="899"/>
      <c r="T28" s="899"/>
      <c r="U28" s="907">
        <v>-98</v>
      </c>
      <c r="V28" s="908">
        <v>3</v>
      </c>
      <c r="W28" s="908">
        <v>4249</v>
      </c>
      <c r="X28" s="908">
        <v>2332</v>
      </c>
      <c r="Y28" s="908">
        <v>15.218500000000001</v>
      </c>
      <c r="Z28" s="908">
        <v>8.2612000000000005</v>
      </c>
      <c r="AA28" s="908">
        <v>0.97030000000000005</v>
      </c>
      <c r="AB28" s="908">
        <v>29.466699999999999</v>
      </c>
      <c r="AC28" s="899"/>
      <c r="AF28" s="77" t="s">
        <v>501</v>
      </c>
    </row>
    <row r="29" spans="1:37" ht="15" thickBot="1">
      <c r="A29" s="907"/>
      <c r="B29" s="908"/>
      <c r="C29" s="899"/>
      <c r="D29" s="899"/>
      <c r="E29" s="899"/>
      <c r="F29" s="899"/>
      <c r="G29" s="899"/>
      <c r="H29" s="899"/>
      <c r="I29" s="899"/>
      <c r="J29" s="899"/>
      <c r="K29" s="899"/>
      <c r="L29" s="899"/>
      <c r="M29" s="899"/>
      <c r="N29" s="899"/>
      <c r="O29" s="899"/>
      <c r="P29" s="899"/>
      <c r="Q29" s="899"/>
      <c r="R29" s="899"/>
      <c r="S29" s="899"/>
      <c r="T29" s="899"/>
      <c r="U29" s="907">
        <v>1</v>
      </c>
      <c r="V29" s="908">
        <v>8</v>
      </c>
      <c r="W29" s="908">
        <v>10239</v>
      </c>
      <c r="X29" s="908">
        <v>2929</v>
      </c>
      <c r="Y29" s="908">
        <v>36.672600000000003</v>
      </c>
      <c r="Z29" s="908">
        <v>10.721399999999999</v>
      </c>
      <c r="AA29" s="908">
        <v>18.1813</v>
      </c>
      <c r="AB29" s="908">
        <v>55.164000000000001</v>
      </c>
      <c r="AC29" s="899"/>
      <c r="AF29" s="843"/>
    </row>
    <row r="30" spans="1:37" ht="15" customHeight="1">
      <c r="A30" s="907" t="s">
        <v>12</v>
      </c>
      <c r="B30" s="908">
        <v>2.3353000000000002</v>
      </c>
      <c r="C30" s="899"/>
      <c r="D30" s="899"/>
      <c r="E30" s="899"/>
      <c r="F30" s="899"/>
      <c r="G30" s="899"/>
      <c r="H30" s="899"/>
      <c r="I30" s="899"/>
      <c r="J30" s="899"/>
      <c r="K30" s="911"/>
      <c r="L30" s="899"/>
      <c r="M30" s="899"/>
      <c r="N30" s="899"/>
      <c r="O30" s="899"/>
      <c r="P30" s="899"/>
      <c r="Q30" s="899"/>
      <c r="R30" s="899"/>
      <c r="S30" s="899"/>
      <c r="T30" s="899"/>
      <c r="U30" s="907">
        <v>2</v>
      </c>
      <c r="V30" s="908">
        <v>8</v>
      </c>
      <c r="W30" s="908">
        <v>10996</v>
      </c>
      <c r="X30" s="908">
        <v>3149</v>
      </c>
      <c r="Y30" s="908">
        <v>39.384</v>
      </c>
      <c r="Z30" s="908">
        <v>11.0253</v>
      </c>
      <c r="AA30" s="908">
        <v>20.368300000000001</v>
      </c>
      <c r="AB30" s="908">
        <v>58.3996</v>
      </c>
      <c r="AC30" s="899"/>
      <c r="AF30" s="1848" t="s">
        <v>33</v>
      </c>
      <c r="AG30" s="1849"/>
    </row>
    <row r="31" spans="1:37" ht="15" customHeight="1">
      <c r="A31" s="907" t="s">
        <v>13</v>
      </c>
      <c r="B31" s="908">
        <v>3</v>
      </c>
      <c r="C31" s="899"/>
      <c r="D31" s="899"/>
      <c r="E31" s="899"/>
      <c r="F31" s="899"/>
      <c r="G31" s="899"/>
      <c r="H31" s="899"/>
      <c r="I31" s="899"/>
      <c r="J31" s="899"/>
      <c r="K31" s="911"/>
      <c r="L31" s="899"/>
      <c r="M31" s="899"/>
      <c r="N31" s="899"/>
      <c r="O31" s="899"/>
      <c r="P31" s="899"/>
      <c r="Q31" s="899"/>
      <c r="R31" s="899"/>
      <c r="S31" s="899"/>
      <c r="T31" s="899"/>
      <c r="U31" s="907">
        <v>3</v>
      </c>
      <c r="V31" s="908">
        <v>2</v>
      </c>
      <c r="W31" s="908">
        <v>2436</v>
      </c>
      <c r="X31" s="908">
        <v>1679</v>
      </c>
      <c r="Y31" s="908">
        <v>8.7248999999999999</v>
      </c>
      <c r="Z31" s="908">
        <v>6.0688000000000004</v>
      </c>
      <c r="AA31" s="908">
        <v>0</v>
      </c>
      <c r="AB31" s="908">
        <v>19.191800000000001</v>
      </c>
      <c r="AC31" s="899"/>
      <c r="AF31" s="919" t="s">
        <v>34</v>
      </c>
      <c r="AG31" s="918">
        <v>61</v>
      </c>
    </row>
    <row r="32" spans="1:37" ht="27.6">
      <c r="A32" s="907" t="s">
        <v>14</v>
      </c>
      <c r="B32" s="908">
        <v>132</v>
      </c>
      <c r="C32" s="899"/>
      <c r="D32" s="899"/>
      <c r="E32" s="899"/>
      <c r="F32" s="899"/>
      <c r="G32" s="899"/>
      <c r="H32" s="899"/>
      <c r="I32" s="899"/>
      <c r="J32" s="899"/>
      <c r="K32" s="911"/>
      <c r="L32" s="899"/>
      <c r="M32" s="899"/>
      <c r="N32" s="899"/>
      <c r="O32" s="899"/>
      <c r="P32" s="899"/>
      <c r="Q32" s="899"/>
      <c r="R32" s="899"/>
      <c r="S32" s="899"/>
      <c r="T32" s="899"/>
      <c r="U32" s="907" t="s">
        <v>5</v>
      </c>
      <c r="V32" s="908">
        <v>21</v>
      </c>
      <c r="W32" s="908">
        <v>27920</v>
      </c>
      <c r="X32" s="908">
        <v>512.82813999999996</v>
      </c>
      <c r="Y32" s="908">
        <v>100</v>
      </c>
      <c r="Z32" s="908"/>
      <c r="AA32" s="908"/>
      <c r="AB32" s="908"/>
      <c r="AC32" s="899"/>
      <c r="AF32" s="919" t="s">
        <v>35</v>
      </c>
      <c r="AG32" s="918">
        <v>59381</v>
      </c>
    </row>
    <row r="33" spans="1:43" ht="15" thickBot="1">
      <c r="A33" s="907" t="s">
        <v>15</v>
      </c>
      <c r="B33" s="908">
        <v>7.6799999999999993E-2</v>
      </c>
      <c r="C33" s="899"/>
      <c r="D33" s="899"/>
      <c r="E33" s="899"/>
      <c r="F33" s="899"/>
      <c r="G33" s="899"/>
      <c r="H33" s="899"/>
      <c r="I33" s="899"/>
      <c r="J33" s="899"/>
      <c r="K33" s="911"/>
      <c r="L33" s="912"/>
      <c r="M33" s="899"/>
      <c r="N33" s="899"/>
      <c r="O33" s="899"/>
      <c r="P33" s="899"/>
      <c r="Q33" s="899"/>
      <c r="R33" s="899"/>
      <c r="S33" s="899"/>
      <c r="T33" s="899"/>
      <c r="U33" s="1893" t="s">
        <v>568</v>
      </c>
      <c r="V33" s="1898"/>
      <c r="W33" s="1898"/>
      <c r="X33" s="1898"/>
      <c r="Y33" s="1898"/>
      <c r="Z33" s="1898"/>
      <c r="AA33" s="1898"/>
      <c r="AB33" s="1898"/>
      <c r="AC33" s="899"/>
      <c r="AF33" s="843"/>
    </row>
    <row r="34" spans="1:43" ht="15" customHeight="1">
      <c r="A34" s="907" t="s">
        <v>250</v>
      </c>
      <c r="B34" s="913"/>
      <c r="C34" s="899"/>
      <c r="D34" s="899"/>
      <c r="E34" s="899"/>
      <c r="F34" s="899"/>
      <c r="G34" s="899"/>
      <c r="H34" s="899"/>
      <c r="I34" s="899"/>
      <c r="J34" s="899"/>
      <c r="K34" s="911"/>
      <c r="L34" s="912"/>
      <c r="M34" s="899"/>
      <c r="N34" s="899"/>
      <c r="O34" s="899"/>
      <c r="P34" s="899"/>
      <c r="Q34" s="899"/>
      <c r="R34" s="899"/>
      <c r="S34" s="899"/>
      <c r="T34" s="899"/>
      <c r="U34" s="899">
        <f>U28</f>
        <v>-98</v>
      </c>
      <c r="V34" s="899">
        <f>V28</f>
        <v>3</v>
      </c>
      <c r="W34" s="899">
        <f t="shared" ref="W34:AB34" si="0">W28</f>
        <v>4249</v>
      </c>
      <c r="X34" s="899">
        <f t="shared" si="0"/>
        <v>2332</v>
      </c>
      <c r="Y34" s="899">
        <f t="shared" si="0"/>
        <v>15.218500000000001</v>
      </c>
      <c r="Z34" s="899">
        <f t="shared" si="0"/>
        <v>8.2612000000000005</v>
      </c>
      <c r="AA34" s="899">
        <f t="shared" si="0"/>
        <v>0.97030000000000005</v>
      </c>
      <c r="AB34" s="899">
        <f t="shared" si="0"/>
        <v>29.466699999999999</v>
      </c>
      <c r="AC34" s="899"/>
      <c r="AF34" s="1848" t="s">
        <v>614</v>
      </c>
      <c r="AG34" s="1849"/>
      <c r="AH34" s="1849"/>
      <c r="AI34" s="1849"/>
      <c r="AJ34" s="1849"/>
      <c r="AK34" s="1849"/>
      <c r="AL34" s="1849"/>
      <c r="AM34" s="1849"/>
    </row>
    <row r="35" spans="1:43" ht="30" customHeight="1">
      <c r="A35" s="1893"/>
      <c r="B35" s="1898"/>
      <c r="C35" s="899"/>
      <c r="D35" s="899"/>
      <c r="E35" s="899"/>
      <c r="F35" s="899"/>
      <c r="G35" s="899"/>
      <c r="H35" s="899"/>
      <c r="I35" s="899"/>
      <c r="J35" s="899"/>
      <c r="K35" s="899"/>
      <c r="L35" s="899"/>
      <c r="M35" s="899"/>
      <c r="N35" s="899"/>
      <c r="O35" s="899"/>
      <c r="P35" s="899"/>
      <c r="Q35" s="899"/>
      <c r="R35" s="899"/>
      <c r="S35" s="899"/>
      <c r="T35" s="899"/>
      <c r="U35" s="899">
        <f t="shared" ref="U35:U37" si="1">U29</f>
        <v>1</v>
      </c>
      <c r="V35" s="899">
        <f>V29+V16</f>
        <v>11</v>
      </c>
      <c r="W35" s="899">
        <f>W29+W16</f>
        <v>14667</v>
      </c>
      <c r="X35" s="899"/>
      <c r="Y35" s="899"/>
      <c r="Z35" s="899"/>
      <c r="AA35" s="899"/>
      <c r="AB35" s="899"/>
      <c r="AC35" s="899"/>
      <c r="AF35" s="1845" t="s">
        <v>504</v>
      </c>
      <c r="AG35" s="1846" t="s">
        <v>2</v>
      </c>
      <c r="AH35" s="917" t="s">
        <v>16</v>
      </c>
      <c r="AI35" s="917" t="s">
        <v>82</v>
      </c>
      <c r="AJ35" s="1846" t="s">
        <v>3</v>
      </c>
      <c r="AK35" s="917" t="s">
        <v>84</v>
      </c>
      <c r="AL35" s="1846" t="s">
        <v>85</v>
      </c>
      <c r="AM35" s="1846"/>
    </row>
    <row r="36" spans="1:43" ht="27.6">
      <c r="A36" s="899"/>
      <c r="B36" s="899"/>
      <c r="C36" s="899"/>
      <c r="D36" s="899"/>
      <c r="E36" s="899"/>
      <c r="F36" s="899"/>
      <c r="G36" s="899"/>
      <c r="H36" s="899"/>
      <c r="I36" s="899"/>
      <c r="J36" s="899"/>
      <c r="K36" s="899"/>
      <c r="L36" s="899"/>
      <c r="M36" s="899"/>
      <c r="N36" s="899"/>
      <c r="O36" s="899"/>
      <c r="P36" s="899"/>
      <c r="Q36" s="899"/>
      <c r="R36" s="899"/>
      <c r="S36" s="899"/>
      <c r="T36" s="899"/>
      <c r="U36" s="899">
        <f t="shared" si="1"/>
        <v>2</v>
      </c>
      <c r="V36" s="899">
        <f t="shared" ref="V36:W36" si="2">V30+V17</f>
        <v>9</v>
      </c>
      <c r="W36" s="899">
        <f t="shared" si="2"/>
        <v>12293</v>
      </c>
      <c r="X36" s="899"/>
      <c r="Y36" s="899"/>
      <c r="Z36" s="899"/>
      <c r="AA36" s="899"/>
      <c r="AB36" s="899"/>
      <c r="AC36" s="899"/>
      <c r="AF36" s="1845"/>
      <c r="AG36" s="1846"/>
      <c r="AH36" s="917" t="s">
        <v>2</v>
      </c>
      <c r="AI36" s="917" t="s">
        <v>83</v>
      </c>
      <c r="AJ36" s="1846"/>
      <c r="AK36" s="917" t="s">
        <v>3</v>
      </c>
      <c r="AL36" s="1846" t="s">
        <v>86</v>
      </c>
      <c r="AM36" s="1846"/>
    </row>
    <row r="37" spans="1:43" s="643" customFormat="1">
      <c r="A37" s="899"/>
      <c r="B37" s="899"/>
      <c r="C37" s="899"/>
      <c r="D37" s="899"/>
      <c r="E37" s="899"/>
      <c r="F37" s="899"/>
      <c r="G37" s="899"/>
      <c r="H37" s="899"/>
      <c r="I37" s="899"/>
      <c r="J37" s="899"/>
      <c r="K37" s="899"/>
      <c r="L37" s="899"/>
      <c r="M37" s="899"/>
      <c r="N37" s="899"/>
      <c r="O37" s="899"/>
      <c r="P37" s="899"/>
      <c r="Q37" s="899"/>
      <c r="R37" s="899"/>
      <c r="S37" s="899"/>
      <c r="T37" s="899"/>
      <c r="U37" s="899">
        <f t="shared" si="1"/>
        <v>3</v>
      </c>
      <c r="V37" s="899">
        <f t="shared" ref="V37:W37" si="3">V31+V18</f>
        <v>2</v>
      </c>
      <c r="W37" s="899">
        <f t="shared" si="3"/>
        <v>2436</v>
      </c>
      <c r="X37" s="899"/>
      <c r="Y37" s="899"/>
      <c r="Z37" s="899"/>
      <c r="AA37" s="899"/>
      <c r="AB37" s="899"/>
      <c r="AC37" s="899"/>
      <c r="AF37" s="919" t="s">
        <v>502</v>
      </c>
      <c r="AG37" s="918">
        <v>12</v>
      </c>
      <c r="AH37" s="918">
        <v>12643</v>
      </c>
      <c r="AI37" s="918">
        <v>3360</v>
      </c>
      <c r="AJ37" s="938">
        <v>0.21291299999999999</v>
      </c>
      <c r="AK37" s="938">
        <v>5.5259000000000003E-2</v>
      </c>
      <c r="AL37" s="918">
        <v>12.0595</v>
      </c>
      <c r="AM37" s="918">
        <v>30.523099999999999</v>
      </c>
      <c r="AO37" s="916"/>
      <c r="AP37" s="916"/>
      <c r="AQ37" s="916"/>
    </row>
    <row r="38" spans="1:43" s="643" customFormat="1">
      <c r="A38" s="899"/>
      <c r="B38" s="899"/>
      <c r="C38" s="899"/>
      <c r="D38" s="899"/>
      <c r="E38" s="899"/>
      <c r="F38" s="899"/>
      <c r="G38" s="899"/>
      <c r="H38" s="899"/>
      <c r="I38" s="899"/>
      <c r="J38" s="899"/>
      <c r="K38" s="899"/>
      <c r="L38" s="899"/>
      <c r="M38" s="899"/>
      <c r="N38" s="899"/>
      <c r="O38" s="899"/>
      <c r="P38" s="899"/>
      <c r="Q38" s="899"/>
      <c r="R38" s="899"/>
      <c r="S38" s="899"/>
      <c r="T38" s="899"/>
      <c r="U38" s="899">
        <f>U19</f>
        <v>4</v>
      </c>
      <c r="V38" s="899">
        <f>V19</f>
        <v>2</v>
      </c>
      <c r="W38" s="899">
        <f>W19</f>
        <v>2532</v>
      </c>
      <c r="X38" s="899"/>
      <c r="Y38" s="899"/>
      <c r="Z38" s="899"/>
      <c r="AA38" s="899"/>
      <c r="AB38" s="899"/>
      <c r="AC38" s="899"/>
      <c r="AF38" s="919" t="s">
        <v>503</v>
      </c>
      <c r="AG38" s="918">
        <v>49</v>
      </c>
      <c r="AH38" s="918">
        <v>46738</v>
      </c>
      <c r="AI38" s="918">
        <v>3229</v>
      </c>
      <c r="AJ38" s="938">
        <v>0.78708699999999998</v>
      </c>
      <c r="AK38" s="938">
        <v>5.5259000000000003E-2</v>
      </c>
      <c r="AL38" s="918">
        <v>69.476900000000001</v>
      </c>
      <c r="AM38" s="918">
        <v>87.9405</v>
      </c>
      <c r="AO38" s="916"/>
      <c r="AP38" s="916"/>
      <c r="AQ38" s="916"/>
    </row>
    <row r="39" spans="1:43" ht="15" customHeight="1">
      <c r="A39" s="901" t="s">
        <v>78</v>
      </c>
      <c r="B39" s="899"/>
      <c r="C39" s="899"/>
      <c r="D39" s="899"/>
      <c r="E39" s="899"/>
      <c r="F39" s="899"/>
      <c r="G39" s="899"/>
      <c r="H39" s="899"/>
      <c r="I39" s="899"/>
      <c r="J39" s="899"/>
      <c r="K39" s="899"/>
      <c r="L39" s="899"/>
      <c r="M39" s="899"/>
      <c r="N39" s="899"/>
      <c r="O39" s="899"/>
      <c r="P39" s="899"/>
      <c r="Q39" s="899"/>
      <c r="R39" s="899"/>
      <c r="S39" s="899"/>
      <c r="T39" s="899"/>
      <c r="U39" s="899" t="str">
        <f>U20</f>
        <v>Total</v>
      </c>
      <c r="V39" s="899">
        <f>SUM(V34:V38)</f>
        <v>27</v>
      </c>
      <c r="W39" s="899">
        <f>SUM(W34:W38)</f>
        <v>36177</v>
      </c>
      <c r="X39" s="899"/>
      <c r="Y39" s="899"/>
      <c r="Z39" s="899"/>
      <c r="AA39" s="899"/>
      <c r="AB39" s="899"/>
      <c r="AC39" s="899"/>
      <c r="AF39" s="919" t="s">
        <v>5</v>
      </c>
      <c r="AG39" s="918">
        <v>61</v>
      </c>
      <c r="AH39" s="918">
        <v>59381</v>
      </c>
      <c r="AI39" s="918">
        <v>1421</v>
      </c>
      <c r="AJ39" s="918">
        <v>100</v>
      </c>
      <c r="AK39" s="918"/>
      <c r="AL39" s="918"/>
      <c r="AM39" s="918"/>
    </row>
    <row r="40" spans="1:43" ht="36.6">
      <c r="A40" s="900" t="s">
        <v>93</v>
      </c>
      <c r="B40" s="899"/>
      <c r="C40" s="899"/>
      <c r="D40" s="899"/>
      <c r="E40" s="899"/>
      <c r="F40" s="899"/>
      <c r="G40" s="899"/>
      <c r="H40" s="899"/>
      <c r="I40" s="899"/>
      <c r="J40" s="899"/>
      <c r="N40" s="899"/>
      <c r="O40" s="899"/>
      <c r="P40" s="899"/>
      <c r="Q40" s="899"/>
      <c r="R40" s="899"/>
      <c r="S40" s="899"/>
      <c r="T40" s="899"/>
      <c r="U40" s="899"/>
      <c r="V40" s="899"/>
      <c r="W40" s="899"/>
      <c r="X40" s="899"/>
      <c r="Y40" s="899"/>
      <c r="Z40" s="899"/>
      <c r="AA40" s="899"/>
      <c r="AB40" s="899"/>
      <c r="AC40" s="899"/>
    </row>
    <row r="41" spans="1:43">
      <c r="A41" s="903" t="s">
        <v>79</v>
      </c>
      <c r="B41" s="899"/>
      <c r="C41" s="899"/>
      <c r="D41" s="899"/>
      <c r="E41" s="899"/>
      <c r="F41" s="899"/>
      <c r="G41" s="899"/>
      <c r="H41" s="899"/>
      <c r="I41" s="899"/>
      <c r="J41" s="899"/>
      <c r="N41" s="899"/>
      <c r="O41" s="899"/>
      <c r="P41" s="899"/>
      <c r="Q41" s="899"/>
      <c r="R41" s="899"/>
      <c r="S41" s="899"/>
      <c r="T41" s="899"/>
      <c r="U41" s="899"/>
      <c r="V41" s="899"/>
      <c r="W41" s="899"/>
      <c r="X41" s="899"/>
      <c r="Y41" s="899"/>
      <c r="Z41" s="899"/>
      <c r="AA41" s="899"/>
      <c r="AB41" s="899"/>
      <c r="AC41" s="899"/>
    </row>
    <row r="42" spans="1:43" ht="15" thickBot="1">
      <c r="A42" s="904"/>
      <c r="B42" s="899"/>
      <c r="C42" s="899"/>
      <c r="D42" s="899"/>
      <c r="E42" s="899"/>
      <c r="F42" s="899"/>
      <c r="G42" s="899"/>
      <c r="H42" s="899"/>
      <c r="I42" s="899"/>
      <c r="J42" s="899"/>
      <c r="N42" s="899"/>
      <c r="O42" s="899"/>
      <c r="P42" s="899"/>
      <c r="Q42" s="899"/>
      <c r="R42" s="899"/>
      <c r="S42" s="899"/>
      <c r="T42" s="899"/>
      <c r="U42" s="899"/>
      <c r="V42" s="899"/>
      <c r="W42" s="899"/>
      <c r="X42" s="899"/>
      <c r="Y42" s="899"/>
      <c r="Z42" s="899"/>
      <c r="AA42" s="899"/>
      <c r="AB42" s="899"/>
      <c r="AC42" s="899"/>
    </row>
    <row r="43" spans="1:43" ht="15" customHeight="1">
      <c r="A43" s="905" t="s">
        <v>33</v>
      </c>
      <c r="B43" s="906"/>
      <c r="C43" s="899"/>
      <c r="D43" s="899"/>
      <c r="E43" s="899"/>
      <c r="F43" s="899"/>
      <c r="G43" s="899"/>
      <c r="H43" s="899"/>
      <c r="I43" s="899"/>
      <c r="J43" s="899"/>
      <c r="N43" s="899"/>
      <c r="O43" s="899"/>
      <c r="P43" s="899"/>
      <c r="Q43" s="899"/>
      <c r="R43" s="899"/>
      <c r="S43" s="899"/>
      <c r="T43" s="899"/>
      <c r="U43" s="899"/>
      <c r="V43" s="899"/>
      <c r="W43" s="899"/>
      <c r="X43" s="899"/>
      <c r="Y43" s="899"/>
      <c r="Z43" s="899"/>
      <c r="AA43" s="899"/>
      <c r="AB43" s="899"/>
      <c r="AC43" s="899"/>
    </row>
    <row r="44" spans="1:43">
      <c r="A44" s="907" t="s">
        <v>34</v>
      </c>
      <c r="B44" s="908">
        <v>20</v>
      </c>
      <c r="C44" s="899"/>
      <c r="D44" s="899"/>
      <c r="E44" s="899"/>
      <c r="F44" s="899"/>
      <c r="G44" s="899"/>
      <c r="H44" s="899"/>
      <c r="I44" s="899"/>
      <c r="J44" s="899"/>
      <c r="N44" s="899"/>
      <c r="O44" s="899"/>
      <c r="P44" s="899"/>
      <c r="Q44" s="899"/>
      <c r="R44" s="899"/>
      <c r="S44" s="899"/>
      <c r="T44" s="899"/>
      <c r="U44" s="899"/>
      <c r="V44" s="899"/>
      <c r="W44" s="899"/>
      <c r="X44" s="899"/>
      <c r="Y44" s="899"/>
      <c r="Z44" s="899"/>
      <c r="AA44" s="899"/>
      <c r="AB44" s="899"/>
      <c r="AC44" s="899"/>
    </row>
    <row r="45" spans="1:43">
      <c r="A45" s="907" t="s">
        <v>35</v>
      </c>
      <c r="B45" s="908">
        <v>18580</v>
      </c>
      <c r="C45" s="899"/>
      <c r="D45" s="899"/>
      <c r="E45" s="899"/>
      <c r="F45" s="899"/>
      <c r="G45" s="899"/>
      <c r="H45" s="899"/>
      <c r="I45" s="899"/>
      <c r="J45" s="899"/>
      <c r="N45" s="899"/>
      <c r="O45" s="899"/>
      <c r="P45" s="899"/>
      <c r="Q45" s="899"/>
      <c r="R45" s="899"/>
      <c r="S45" s="899"/>
      <c r="T45" s="899"/>
      <c r="U45" s="899"/>
      <c r="V45" s="899"/>
      <c r="W45" s="899"/>
      <c r="X45" s="899"/>
      <c r="Y45" s="899"/>
      <c r="Z45" s="899"/>
      <c r="AA45" s="899"/>
      <c r="AB45" s="899"/>
      <c r="AC45" s="899"/>
    </row>
    <row r="46" spans="1:43" ht="15" thickBot="1">
      <c r="A46" s="904"/>
      <c r="B46" s="899"/>
      <c r="C46" s="899"/>
      <c r="D46" s="899"/>
      <c r="E46" s="899"/>
      <c r="F46" s="899"/>
      <c r="G46" s="899"/>
      <c r="H46" s="899"/>
      <c r="I46" s="899"/>
      <c r="J46" s="899"/>
      <c r="K46" s="899"/>
      <c r="L46" s="899"/>
      <c r="M46" s="899"/>
      <c r="N46" s="899"/>
      <c r="O46" s="899"/>
      <c r="P46" s="899"/>
      <c r="Q46" s="899"/>
      <c r="R46" s="899"/>
      <c r="S46" s="899"/>
      <c r="T46" s="899"/>
      <c r="U46" s="899" t="s">
        <v>259</v>
      </c>
      <c r="V46" s="899"/>
      <c r="W46" s="899"/>
      <c r="X46" s="899"/>
      <c r="Y46" s="899"/>
      <c r="Z46" s="899"/>
      <c r="AA46" s="899"/>
      <c r="AB46" s="899"/>
      <c r="AC46" s="899"/>
    </row>
    <row r="47" spans="1:43" ht="15" customHeight="1">
      <c r="A47" s="905" t="s">
        <v>90</v>
      </c>
      <c r="B47" s="906"/>
      <c r="C47" s="906"/>
      <c r="D47" s="906"/>
      <c r="E47" s="906"/>
      <c r="F47" s="906"/>
      <c r="G47" s="906"/>
      <c r="H47" s="906"/>
      <c r="I47" s="899"/>
      <c r="J47" s="899"/>
      <c r="K47" s="905" t="s">
        <v>90</v>
      </c>
      <c r="L47" s="906"/>
      <c r="M47" s="906"/>
      <c r="N47" s="906"/>
      <c r="O47" s="906"/>
      <c r="P47" s="906"/>
      <c r="Q47" s="906"/>
      <c r="R47" s="906"/>
      <c r="S47" s="899"/>
      <c r="T47" s="899"/>
      <c r="U47" s="905" t="s">
        <v>90</v>
      </c>
      <c r="V47" s="906"/>
      <c r="W47" s="906"/>
      <c r="X47" s="906"/>
      <c r="Y47" s="906"/>
      <c r="Z47" s="906"/>
      <c r="AA47" s="906"/>
      <c r="AB47" s="906"/>
      <c r="AC47" s="899"/>
    </row>
    <row r="48" spans="1:43" ht="45" customHeight="1">
      <c r="A48" s="907" t="s">
        <v>91</v>
      </c>
      <c r="B48" s="909" t="s">
        <v>2</v>
      </c>
      <c r="C48" s="909" t="s">
        <v>16</v>
      </c>
      <c r="D48" s="909" t="s">
        <v>82</v>
      </c>
      <c r="E48" s="909" t="s">
        <v>3</v>
      </c>
      <c r="F48" s="909" t="s">
        <v>84</v>
      </c>
      <c r="G48" s="909" t="s">
        <v>85</v>
      </c>
      <c r="H48" s="909"/>
      <c r="I48" s="899"/>
      <c r="J48" s="899"/>
      <c r="K48" s="907" t="s">
        <v>91</v>
      </c>
      <c r="L48" s="909" t="s">
        <v>2</v>
      </c>
      <c r="M48" s="909" t="s">
        <v>16</v>
      </c>
      <c r="N48" s="909" t="s">
        <v>82</v>
      </c>
      <c r="O48" s="909" t="s">
        <v>3</v>
      </c>
      <c r="P48" s="909" t="s">
        <v>84</v>
      </c>
      <c r="Q48" s="909" t="s">
        <v>85</v>
      </c>
      <c r="R48" s="909"/>
      <c r="S48" s="899"/>
      <c r="T48" s="899"/>
      <c r="U48" s="907" t="s">
        <v>91</v>
      </c>
      <c r="V48" s="909" t="s">
        <v>2</v>
      </c>
      <c r="W48" s="909" t="s">
        <v>16</v>
      </c>
      <c r="X48" s="909" t="s">
        <v>82</v>
      </c>
      <c r="Y48" s="909" t="s">
        <v>3</v>
      </c>
      <c r="Z48" s="909" t="s">
        <v>84</v>
      </c>
      <c r="AA48" s="909" t="s">
        <v>85</v>
      </c>
      <c r="AB48" s="909"/>
      <c r="AC48" s="899"/>
    </row>
    <row r="49" spans="1:29" ht="15" customHeight="1">
      <c r="A49" s="907"/>
      <c r="B49" s="909"/>
      <c r="C49" s="909" t="s">
        <v>2</v>
      </c>
      <c r="D49" s="909" t="s">
        <v>83</v>
      </c>
      <c r="E49" s="909"/>
      <c r="F49" s="909" t="s">
        <v>3</v>
      </c>
      <c r="G49" s="909" t="s">
        <v>86</v>
      </c>
      <c r="H49" s="909"/>
      <c r="I49" s="899"/>
      <c r="J49" s="899"/>
      <c r="K49" s="907"/>
      <c r="L49" s="909"/>
      <c r="M49" s="909" t="s">
        <v>2</v>
      </c>
      <c r="N49" s="909" t="s">
        <v>83</v>
      </c>
      <c r="O49" s="909"/>
      <c r="P49" s="909" t="s">
        <v>3</v>
      </c>
      <c r="Q49" s="909" t="s">
        <v>86</v>
      </c>
      <c r="R49" s="909"/>
      <c r="S49" s="899"/>
      <c r="T49" s="899"/>
      <c r="U49" s="907"/>
      <c r="V49" s="909"/>
      <c r="W49" s="909" t="s">
        <v>2</v>
      </c>
      <c r="X49" s="909" t="s">
        <v>83</v>
      </c>
      <c r="Y49" s="909"/>
      <c r="Z49" s="909" t="s">
        <v>3</v>
      </c>
      <c r="AA49" s="909" t="s">
        <v>86</v>
      </c>
      <c r="AB49" s="909"/>
      <c r="AC49" s="899"/>
    </row>
    <row r="50" spans="1:29">
      <c r="A50" s="907">
        <v>1</v>
      </c>
      <c r="B50" s="908">
        <v>3</v>
      </c>
      <c r="C50" s="908">
        <v>3233</v>
      </c>
      <c r="D50" s="908">
        <v>1779</v>
      </c>
      <c r="E50" s="910">
        <v>17.400400000000001</v>
      </c>
      <c r="F50" s="908">
        <v>9.2995999999999999</v>
      </c>
      <c r="G50" s="908">
        <v>1.3203</v>
      </c>
      <c r="H50" s="908">
        <v>33.480600000000003</v>
      </c>
      <c r="I50" s="899"/>
      <c r="J50" s="899"/>
      <c r="K50" s="907">
        <v>1</v>
      </c>
      <c r="L50" s="908">
        <v>1</v>
      </c>
      <c r="M50" s="908">
        <v>9860</v>
      </c>
      <c r="N50" s="908">
        <v>9860</v>
      </c>
      <c r="O50" s="910">
        <v>7.7991000000000001</v>
      </c>
      <c r="P50" s="908">
        <v>7.8472999999999997</v>
      </c>
      <c r="Q50" s="908">
        <v>0</v>
      </c>
      <c r="R50" s="908">
        <v>21.8919</v>
      </c>
      <c r="S50" s="899"/>
      <c r="T50" s="899"/>
      <c r="U50" s="907">
        <v>1</v>
      </c>
      <c r="V50" s="908">
        <f>L50+B50/2</f>
        <v>2.5</v>
      </c>
      <c r="W50" s="908">
        <f>V50*1476</f>
        <v>3690</v>
      </c>
      <c r="X50" s="908"/>
      <c r="Y50" s="914">
        <f>W50/W$54</f>
        <v>0.11363636363636363</v>
      </c>
      <c r="Z50" s="908"/>
      <c r="AA50" s="908"/>
      <c r="AB50" s="908"/>
      <c r="AC50" s="899"/>
    </row>
    <row r="51" spans="1:29">
      <c r="A51" s="907">
        <v>2</v>
      </c>
      <c r="B51" s="908">
        <v>1</v>
      </c>
      <c r="C51" s="908">
        <v>792</v>
      </c>
      <c r="D51" s="908">
        <v>792</v>
      </c>
      <c r="E51" s="910">
        <v>4.2625999999999999</v>
      </c>
      <c r="F51" s="908">
        <v>4.2980999999999998</v>
      </c>
      <c r="G51" s="908">
        <v>0</v>
      </c>
      <c r="H51" s="908">
        <v>11.694599999999999</v>
      </c>
      <c r="I51" s="899"/>
      <c r="J51" s="899"/>
      <c r="K51" s="907">
        <v>2</v>
      </c>
      <c r="L51" s="908">
        <v>1</v>
      </c>
      <c r="M51" s="908">
        <v>9860</v>
      </c>
      <c r="N51" s="908">
        <v>9860</v>
      </c>
      <c r="O51" s="910">
        <v>7.7991000000000001</v>
      </c>
      <c r="P51" s="908">
        <v>7.8472999999999997</v>
      </c>
      <c r="Q51" s="908">
        <v>0</v>
      </c>
      <c r="R51" s="908">
        <v>21.8919</v>
      </c>
      <c r="S51" s="899"/>
      <c r="T51" s="899"/>
      <c r="U51" s="907">
        <v>2</v>
      </c>
      <c r="V51" s="908">
        <f t="shared" ref="V51:V53" si="4">L51+B51/2</f>
        <v>1.5</v>
      </c>
      <c r="W51" s="908">
        <f t="shared" ref="W51:W53" si="5">V51*1476</f>
        <v>2214</v>
      </c>
      <c r="X51" s="908" t="s">
        <v>176</v>
      </c>
      <c r="Y51" s="914">
        <f t="shared" ref="Y51:Y53" si="6">W51/W$54</f>
        <v>6.8181818181818177E-2</v>
      </c>
      <c r="Z51" s="908" t="s">
        <v>176</v>
      </c>
      <c r="AA51" s="908" t="s">
        <v>176</v>
      </c>
      <c r="AB51" s="908" t="s">
        <v>176</v>
      </c>
      <c r="AC51" s="899"/>
    </row>
    <row r="52" spans="1:29" ht="15" customHeight="1">
      <c r="A52" s="907">
        <v>3</v>
      </c>
      <c r="B52" s="908">
        <v>3</v>
      </c>
      <c r="C52" s="908">
        <v>2376</v>
      </c>
      <c r="D52" s="908">
        <v>1298</v>
      </c>
      <c r="E52" s="910">
        <v>12.7879</v>
      </c>
      <c r="F52" s="908">
        <v>7.1764999999999999</v>
      </c>
      <c r="G52" s="908">
        <v>0.37880000000000003</v>
      </c>
      <c r="H52" s="908">
        <v>25.197099999999999</v>
      </c>
      <c r="I52" s="899"/>
      <c r="J52" s="899"/>
      <c r="K52" s="907">
        <v>3</v>
      </c>
      <c r="L52" s="908">
        <v>2</v>
      </c>
      <c r="M52" s="908">
        <v>19721</v>
      </c>
      <c r="N52" s="908">
        <v>13296</v>
      </c>
      <c r="O52" s="910">
        <v>15.598100000000001</v>
      </c>
      <c r="P52" s="908">
        <v>10.658799999999999</v>
      </c>
      <c r="Q52" s="908">
        <v>0</v>
      </c>
      <c r="R52" s="908">
        <v>34.740099999999998</v>
      </c>
      <c r="S52" s="899"/>
      <c r="T52" s="899"/>
      <c r="U52" s="907">
        <v>3</v>
      </c>
      <c r="V52" s="908">
        <f t="shared" si="4"/>
        <v>3.5</v>
      </c>
      <c r="W52" s="908">
        <f t="shared" si="5"/>
        <v>5166</v>
      </c>
      <c r="X52" s="908"/>
      <c r="Y52" s="914">
        <f t="shared" si="6"/>
        <v>0.15909090909090909</v>
      </c>
      <c r="Z52" s="908"/>
      <c r="AA52" s="908"/>
      <c r="AB52" s="908"/>
      <c r="AC52" s="899"/>
    </row>
    <row r="53" spans="1:29">
      <c r="A53" s="907">
        <v>4</v>
      </c>
      <c r="B53" s="908">
        <v>13</v>
      </c>
      <c r="C53" s="908">
        <v>12179</v>
      </c>
      <c r="D53" s="908">
        <v>2100</v>
      </c>
      <c r="E53" s="910">
        <v>65.549000000000007</v>
      </c>
      <c r="F53" s="908">
        <v>11.005699999999999</v>
      </c>
      <c r="G53" s="908">
        <v>46.518700000000003</v>
      </c>
      <c r="H53" s="908">
        <v>84.5792</v>
      </c>
      <c r="I53" s="899"/>
      <c r="J53" s="899"/>
      <c r="K53" s="907">
        <v>4</v>
      </c>
      <c r="L53" s="908">
        <v>8</v>
      </c>
      <c r="M53" s="908">
        <v>86989</v>
      </c>
      <c r="N53" s="908">
        <v>18786</v>
      </c>
      <c r="O53" s="910">
        <v>68.803700000000006</v>
      </c>
      <c r="P53" s="908">
        <v>13.7484</v>
      </c>
      <c r="Q53" s="908">
        <v>44.113199999999999</v>
      </c>
      <c r="R53" s="908">
        <v>93.494299999999996</v>
      </c>
      <c r="S53" s="899"/>
      <c r="T53" s="899"/>
      <c r="U53" s="907">
        <v>4</v>
      </c>
      <c r="V53" s="908">
        <f t="shared" si="4"/>
        <v>14.5</v>
      </c>
      <c r="W53" s="908">
        <f t="shared" si="5"/>
        <v>21402</v>
      </c>
      <c r="X53" s="908"/>
      <c r="Y53" s="914">
        <f t="shared" si="6"/>
        <v>0.65909090909090906</v>
      </c>
      <c r="Z53" s="908"/>
      <c r="AA53" s="908"/>
      <c r="AB53" s="908"/>
      <c r="AC53" s="899"/>
    </row>
    <row r="54" spans="1:29">
      <c r="A54" s="907" t="s">
        <v>5</v>
      </c>
      <c r="B54" s="908">
        <v>20</v>
      </c>
      <c r="C54" s="908">
        <v>18580</v>
      </c>
      <c r="D54" s="908">
        <v>634.92062999999996</v>
      </c>
      <c r="E54" s="908">
        <v>100</v>
      </c>
      <c r="F54" s="908"/>
      <c r="G54" s="908"/>
      <c r="H54" s="908"/>
      <c r="I54" s="899"/>
      <c r="J54" s="899"/>
      <c r="K54" s="907" t="s">
        <v>5</v>
      </c>
      <c r="L54" s="908">
        <v>12</v>
      </c>
      <c r="M54" s="908">
        <v>126431</v>
      </c>
      <c r="N54" s="908">
        <v>3456</v>
      </c>
      <c r="O54" s="908">
        <v>100</v>
      </c>
      <c r="P54" s="908"/>
      <c r="Q54" s="908"/>
      <c r="R54" s="908"/>
      <c r="S54" s="899"/>
      <c r="T54" s="899"/>
      <c r="U54" s="907" t="s">
        <v>5</v>
      </c>
      <c r="V54" s="908">
        <v>1</v>
      </c>
      <c r="W54" s="908">
        <f>SUM(W50:W53)</f>
        <v>32472</v>
      </c>
      <c r="X54" s="908" t="s">
        <v>176</v>
      </c>
      <c r="Y54" s="910">
        <v>100</v>
      </c>
      <c r="Z54" s="908"/>
      <c r="AA54" s="908"/>
      <c r="AB54" s="908"/>
      <c r="AC54" s="899"/>
    </row>
    <row r="55" spans="1:29" ht="15" thickBot="1">
      <c r="A55" s="904"/>
      <c r="B55" s="899"/>
      <c r="C55" s="899"/>
      <c r="D55" s="899"/>
      <c r="E55" s="899"/>
      <c r="F55" s="899"/>
      <c r="G55" s="899"/>
      <c r="H55" s="899"/>
      <c r="I55" s="899"/>
      <c r="J55" s="899"/>
      <c r="K55" s="899"/>
      <c r="L55" s="899"/>
      <c r="M55" s="899"/>
      <c r="N55" s="899"/>
      <c r="O55" s="899"/>
      <c r="P55" s="899"/>
      <c r="Q55" s="899"/>
      <c r="R55" s="899"/>
      <c r="S55" s="899"/>
      <c r="T55" s="899"/>
      <c r="U55" s="899"/>
      <c r="V55" s="899"/>
      <c r="W55" s="899"/>
      <c r="X55" s="899"/>
      <c r="Y55" s="899"/>
      <c r="Z55" s="899"/>
      <c r="AA55" s="899"/>
      <c r="AB55" s="899"/>
      <c r="AC55" s="899"/>
    </row>
    <row r="56" spans="1:29" ht="15" customHeight="1">
      <c r="A56" s="905" t="s">
        <v>6</v>
      </c>
      <c r="B56" s="906"/>
      <c r="C56" s="899"/>
      <c r="D56" s="899"/>
      <c r="E56" s="899"/>
      <c r="F56" s="899"/>
      <c r="G56" s="899"/>
      <c r="H56" s="899"/>
      <c r="I56" s="899"/>
      <c r="J56" s="899"/>
      <c r="K56" s="899"/>
      <c r="L56" s="899"/>
      <c r="M56" s="899"/>
      <c r="N56" s="899"/>
      <c r="O56" s="899"/>
      <c r="P56" s="899"/>
      <c r="Q56" s="899"/>
      <c r="R56" s="899"/>
      <c r="S56" s="899"/>
      <c r="T56" s="899"/>
      <c r="U56" s="899"/>
      <c r="V56" s="899"/>
      <c r="W56" s="899"/>
      <c r="X56" s="899"/>
      <c r="Y56" s="899"/>
      <c r="Z56" s="899"/>
      <c r="AA56" s="899"/>
      <c r="AB56" s="899"/>
      <c r="AC56" s="899"/>
    </row>
    <row r="57" spans="1:29">
      <c r="A57" s="907" t="s">
        <v>7</v>
      </c>
      <c r="B57" s="908">
        <v>18.249199999999998</v>
      </c>
      <c r="C57" s="899"/>
      <c r="D57" s="899"/>
      <c r="E57" s="899"/>
      <c r="F57" s="899"/>
      <c r="G57" s="899"/>
      <c r="H57" s="899"/>
      <c r="I57" s="899"/>
      <c r="J57" s="899"/>
      <c r="K57" s="899"/>
      <c r="L57" s="899"/>
      <c r="M57" s="899"/>
      <c r="N57" s="899"/>
      <c r="O57" s="899"/>
      <c r="P57" s="899"/>
      <c r="Q57" s="899"/>
      <c r="R57" s="899"/>
      <c r="S57" s="899"/>
      <c r="T57" s="899"/>
      <c r="U57" s="899"/>
      <c r="V57" s="899"/>
      <c r="W57" s="899"/>
      <c r="X57" s="899"/>
      <c r="Y57" s="899"/>
      <c r="Z57" s="899"/>
      <c r="AA57" s="899"/>
      <c r="AB57" s="899"/>
      <c r="AC57" s="899"/>
    </row>
    <row r="58" spans="1:29">
      <c r="A58" s="907" t="s">
        <v>8</v>
      </c>
      <c r="B58" s="908">
        <v>0.96130000000000004</v>
      </c>
      <c r="C58" s="899"/>
      <c r="D58" s="899"/>
      <c r="E58" s="899"/>
      <c r="F58" s="899"/>
      <c r="G58" s="899"/>
      <c r="H58" s="899"/>
      <c r="I58" s="899"/>
      <c r="J58" s="899"/>
      <c r="K58" s="899"/>
      <c r="L58" s="899"/>
      <c r="M58" s="899"/>
      <c r="N58" s="899"/>
      <c r="O58" s="899"/>
      <c r="P58" s="899"/>
      <c r="Q58" s="899"/>
      <c r="R58" s="899"/>
      <c r="S58" s="899"/>
      <c r="T58" s="899"/>
      <c r="U58" s="899"/>
      <c r="V58" s="899"/>
      <c r="W58" s="899"/>
      <c r="X58" s="899"/>
      <c r="Y58" s="899"/>
      <c r="Z58" s="899"/>
      <c r="AA58" s="899"/>
      <c r="AB58" s="899"/>
      <c r="AC58" s="899"/>
    </row>
    <row r="59" spans="1:29">
      <c r="A59" s="907"/>
      <c r="B59" s="908"/>
      <c r="C59" s="899"/>
      <c r="D59" s="899"/>
      <c r="E59" s="899"/>
      <c r="F59" s="899"/>
      <c r="G59" s="899"/>
      <c r="H59" s="899"/>
      <c r="I59" s="899"/>
      <c r="J59" s="899"/>
      <c r="K59" s="899"/>
      <c r="L59" s="899"/>
      <c r="M59" s="899"/>
      <c r="N59" s="899"/>
      <c r="O59" s="899"/>
      <c r="P59" s="899"/>
      <c r="Q59" s="899"/>
      <c r="R59" s="899"/>
      <c r="S59" s="899"/>
      <c r="T59" s="899"/>
      <c r="U59" s="899"/>
      <c r="V59" s="899"/>
      <c r="W59" s="899"/>
      <c r="X59" s="899"/>
      <c r="Y59" s="899"/>
      <c r="Z59" s="899"/>
      <c r="AA59" s="899"/>
      <c r="AB59" s="899"/>
      <c r="AC59" s="899"/>
    </row>
    <row r="60" spans="1:29">
      <c r="A60" s="907" t="s">
        <v>9</v>
      </c>
      <c r="B60" s="908">
        <v>18.983000000000001</v>
      </c>
      <c r="C60" s="899"/>
      <c r="D60" s="899"/>
      <c r="E60" s="899"/>
      <c r="F60" s="899"/>
      <c r="G60" s="899"/>
      <c r="H60" s="899"/>
      <c r="I60" s="899"/>
      <c r="J60" s="899"/>
      <c r="K60" s="899"/>
      <c r="L60" s="899"/>
      <c r="M60" s="899"/>
      <c r="N60" s="899"/>
      <c r="O60" s="899"/>
      <c r="P60" s="899"/>
      <c r="Q60" s="899"/>
      <c r="R60" s="899"/>
      <c r="S60" s="899"/>
      <c r="T60" s="899"/>
      <c r="U60" s="899"/>
      <c r="V60" s="899"/>
      <c r="W60" s="899"/>
      <c r="X60" s="899"/>
      <c r="Y60" s="899"/>
      <c r="Z60" s="899"/>
      <c r="AA60" s="899"/>
      <c r="AB60" s="899"/>
      <c r="AC60" s="899"/>
    </row>
    <row r="61" spans="1:29">
      <c r="A61" s="907" t="s">
        <v>10</v>
      </c>
      <c r="B61" s="908">
        <v>3</v>
      </c>
      <c r="C61" s="899"/>
      <c r="D61" s="899"/>
      <c r="E61" s="899"/>
      <c r="F61" s="899"/>
      <c r="G61" s="899"/>
      <c r="H61" s="899"/>
      <c r="I61" s="899"/>
      <c r="J61" s="899"/>
      <c r="K61" s="899"/>
      <c r="L61" s="899"/>
      <c r="M61" s="899"/>
      <c r="N61" s="899"/>
      <c r="O61" s="899"/>
      <c r="P61" s="899"/>
      <c r="Q61" s="899"/>
      <c r="R61" s="899"/>
      <c r="S61" s="899"/>
      <c r="T61" s="899"/>
      <c r="U61" s="899"/>
      <c r="V61" s="899"/>
      <c r="W61" s="899"/>
      <c r="X61" s="899"/>
      <c r="Y61" s="899"/>
      <c r="Z61" s="899"/>
      <c r="AA61" s="899"/>
      <c r="AB61" s="899"/>
      <c r="AC61" s="899"/>
    </row>
    <row r="62" spans="1:29">
      <c r="A62" s="907" t="s">
        <v>11</v>
      </c>
      <c r="B62" s="908">
        <v>2.9999999999999997E-4</v>
      </c>
      <c r="C62" s="899"/>
      <c r="D62" s="899"/>
      <c r="E62" s="899"/>
      <c r="F62" s="899"/>
      <c r="G62" s="899"/>
      <c r="H62" s="899"/>
      <c r="I62" s="899"/>
      <c r="J62" s="899"/>
      <c r="K62" s="899"/>
      <c r="L62" s="899"/>
      <c r="M62" s="899"/>
      <c r="N62" s="899"/>
      <c r="O62" s="899"/>
      <c r="P62" s="899"/>
      <c r="Q62" s="899"/>
      <c r="R62" s="899"/>
      <c r="S62" s="899"/>
      <c r="T62" s="899"/>
      <c r="U62" s="899"/>
      <c r="V62" s="899"/>
      <c r="W62" s="899"/>
      <c r="X62" s="899"/>
      <c r="Y62" s="899"/>
      <c r="Z62" s="899"/>
      <c r="AA62" s="899"/>
      <c r="AB62" s="899"/>
      <c r="AC62" s="899"/>
    </row>
    <row r="63" spans="1:29">
      <c r="A63" s="907"/>
      <c r="B63" s="908"/>
      <c r="C63" s="899"/>
      <c r="D63" s="899"/>
      <c r="E63" s="899"/>
      <c r="F63" s="899"/>
      <c r="G63" s="899"/>
      <c r="H63" s="899"/>
      <c r="I63" s="899"/>
      <c r="J63" s="899"/>
      <c r="K63" s="899"/>
      <c r="L63" s="899"/>
      <c r="M63" s="899"/>
      <c r="N63" s="899"/>
      <c r="O63" s="899"/>
      <c r="P63" s="899"/>
      <c r="Q63" s="899"/>
      <c r="R63" s="899"/>
      <c r="S63" s="899"/>
      <c r="T63" s="899"/>
      <c r="U63" s="899"/>
      <c r="V63" s="899"/>
      <c r="W63" s="899"/>
      <c r="X63" s="899"/>
      <c r="Y63" s="899"/>
      <c r="Z63" s="899"/>
      <c r="AA63" s="899"/>
      <c r="AB63" s="899"/>
      <c r="AC63" s="899"/>
    </row>
    <row r="64" spans="1:29" ht="15" customHeight="1">
      <c r="A64" s="907" t="s">
        <v>12</v>
      </c>
      <c r="B64" s="908">
        <v>6.3277000000000001</v>
      </c>
      <c r="C64" s="899"/>
      <c r="D64" s="899"/>
      <c r="E64" s="899"/>
      <c r="F64" s="899"/>
      <c r="G64" s="899"/>
      <c r="H64" s="899"/>
      <c r="I64" s="899"/>
      <c r="J64" s="899"/>
      <c r="K64" s="899"/>
      <c r="L64" s="899"/>
      <c r="M64" s="899"/>
      <c r="N64" s="899"/>
      <c r="O64" s="899"/>
      <c r="P64" s="899"/>
      <c r="Q64" s="899"/>
      <c r="R64" s="899"/>
      <c r="S64" s="899"/>
      <c r="T64" s="899"/>
      <c r="U64" s="899"/>
      <c r="V64" s="899"/>
      <c r="W64" s="899"/>
      <c r="X64" s="899"/>
      <c r="Y64" s="899"/>
      <c r="Z64" s="899"/>
      <c r="AA64" s="899"/>
      <c r="AB64" s="899"/>
      <c r="AC64" s="899"/>
    </row>
    <row r="65" spans="1:32">
      <c r="A65" s="907" t="s">
        <v>13</v>
      </c>
      <c r="B65" s="908">
        <v>3</v>
      </c>
      <c r="C65" s="899"/>
      <c r="D65" s="899"/>
      <c r="E65" s="899"/>
      <c r="F65" s="899"/>
      <c r="G65" s="899"/>
      <c r="H65" s="899"/>
      <c r="I65" s="899"/>
      <c r="J65" s="899"/>
      <c r="K65" s="899"/>
      <c r="L65" s="899"/>
      <c r="M65" s="899"/>
      <c r="N65" s="899"/>
      <c r="O65" s="899"/>
      <c r="P65" s="899"/>
      <c r="Q65" s="899"/>
      <c r="R65" s="899"/>
      <c r="S65" s="899"/>
      <c r="T65" s="899"/>
      <c r="U65" s="899"/>
      <c r="V65" s="899"/>
      <c r="W65" s="899"/>
      <c r="X65" s="899"/>
      <c r="Y65" s="899"/>
      <c r="Z65" s="899"/>
      <c r="AA65" s="899"/>
      <c r="AB65" s="899"/>
      <c r="AC65" s="899"/>
    </row>
    <row r="66" spans="1:32">
      <c r="A66" s="907" t="s">
        <v>14</v>
      </c>
      <c r="B66" s="908">
        <v>57</v>
      </c>
      <c r="C66" s="899"/>
      <c r="D66" s="899"/>
      <c r="E66" s="899"/>
      <c r="F66" s="899"/>
      <c r="G66" s="899"/>
      <c r="H66" s="899"/>
      <c r="I66" s="899"/>
      <c r="J66" s="899"/>
      <c r="K66" s="899"/>
      <c r="L66" s="899"/>
      <c r="M66" s="899"/>
      <c r="N66" s="899"/>
      <c r="O66" s="899"/>
      <c r="P66" s="899"/>
      <c r="Q66" s="899"/>
      <c r="R66" s="899"/>
      <c r="S66" s="899"/>
      <c r="T66" s="899"/>
      <c r="U66" s="899"/>
      <c r="V66" s="899"/>
      <c r="W66" s="899"/>
      <c r="X66" s="899"/>
      <c r="Y66" s="899"/>
      <c r="Z66" s="899"/>
      <c r="AA66" s="899"/>
      <c r="AB66" s="899"/>
      <c r="AC66" s="899"/>
    </row>
    <row r="67" spans="1:32">
      <c r="A67" s="907" t="s">
        <v>15</v>
      </c>
      <c r="B67" s="908">
        <v>8.9999999999999998E-4</v>
      </c>
      <c r="C67" s="899"/>
      <c r="D67" s="899"/>
      <c r="E67" s="899"/>
      <c r="F67" s="899"/>
      <c r="G67" s="899"/>
      <c r="H67" s="899"/>
      <c r="I67" s="899"/>
      <c r="J67" s="899"/>
      <c r="K67" s="899"/>
      <c r="L67" s="899"/>
      <c r="M67" s="899"/>
      <c r="N67" s="899"/>
      <c r="O67" s="899"/>
      <c r="P67" s="899"/>
      <c r="Q67" s="899"/>
      <c r="R67" s="899"/>
      <c r="S67" s="899"/>
      <c r="T67" s="899"/>
      <c r="U67" s="899"/>
      <c r="V67" s="899"/>
      <c r="W67" s="899"/>
      <c r="X67" s="899"/>
      <c r="Y67" s="899"/>
      <c r="Z67" s="899"/>
      <c r="AA67" s="899"/>
      <c r="AB67" s="899"/>
      <c r="AC67" s="899"/>
    </row>
    <row r="68" spans="1:32" ht="15" customHeight="1">
      <c r="A68" s="907" t="s">
        <v>249</v>
      </c>
      <c r="B68" s="913"/>
      <c r="C68" s="899"/>
      <c r="D68" s="899"/>
      <c r="E68" s="899"/>
      <c r="F68" s="899"/>
      <c r="G68" s="899"/>
      <c r="H68" s="899"/>
      <c r="I68" s="899"/>
      <c r="J68" s="899"/>
      <c r="K68" s="899"/>
      <c r="L68" s="899"/>
      <c r="M68" s="899"/>
      <c r="N68" s="899"/>
      <c r="O68" s="899"/>
      <c r="P68" s="899"/>
      <c r="Q68" s="899"/>
      <c r="R68" s="899"/>
      <c r="S68" s="899"/>
      <c r="T68" s="899"/>
      <c r="U68" s="899"/>
      <c r="V68" s="899"/>
      <c r="W68" s="899"/>
      <c r="X68" s="899"/>
      <c r="Y68" s="899"/>
      <c r="Z68" s="899"/>
      <c r="AA68" s="899"/>
      <c r="AB68" s="899"/>
      <c r="AC68" s="899"/>
    </row>
    <row r="69" spans="1:32">
      <c r="A69" s="899"/>
      <c r="B69" s="899"/>
      <c r="C69" s="899"/>
      <c r="D69" s="899"/>
      <c r="E69" s="899"/>
      <c r="F69" s="899"/>
      <c r="G69" s="899"/>
      <c r="H69" s="899"/>
      <c r="I69" s="899"/>
      <c r="J69" s="899"/>
      <c r="K69" s="899"/>
      <c r="L69" s="899"/>
      <c r="M69" s="899"/>
      <c r="N69" s="899"/>
      <c r="O69" s="899"/>
      <c r="P69" s="899"/>
      <c r="Q69" s="899"/>
      <c r="R69" s="899"/>
      <c r="S69" s="899"/>
      <c r="T69" s="899"/>
      <c r="U69" s="899"/>
      <c r="V69" s="899"/>
      <c r="W69" s="899"/>
      <c r="X69" s="899"/>
      <c r="Y69" s="899"/>
      <c r="Z69" s="899"/>
      <c r="AA69" s="899"/>
      <c r="AB69" s="899"/>
      <c r="AC69" s="899"/>
    </row>
    <row r="70" spans="1:32">
      <c r="A70" s="899"/>
      <c r="B70" s="899"/>
      <c r="C70" s="899"/>
      <c r="D70" s="899"/>
      <c r="E70" s="899"/>
      <c r="F70" s="899"/>
      <c r="G70" s="899"/>
      <c r="H70" s="899"/>
      <c r="I70" s="899"/>
      <c r="J70" s="899"/>
      <c r="K70" s="899"/>
      <c r="L70" s="899"/>
      <c r="M70" s="899"/>
      <c r="N70" s="899"/>
      <c r="O70" s="899"/>
      <c r="P70" s="899"/>
      <c r="Q70" s="899"/>
      <c r="R70" s="899"/>
      <c r="S70" s="899"/>
      <c r="T70" s="899"/>
      <c r="U70" s="899"/>
      <c r="V70" s="899"/>
      <c r="W70" s="899"/>
      <c r="X70" s="899"/>
      <c r="Y70" s="899"/>
      <c r="Z70" s="899"/>
      <c r="AA70" s="899"/>
      <c r="AB70" s="899"/>
      <c r="AC70" s="899"/>
    </row>
    <row r="71" spans="1:32">
      <c r="A71" s="899"/>
      <c r="B71" s="899"/>
      <c r="C71" s="899"/>
      <c r="D71" s="899"/>
      <c r="E71" s="899"/>
      <c r="F71" s="899"/>
      <c r="G71" s="899"/>
      <c r="H71" s="899"/>
      <c r="I71" s="899"/>
      <c r="J71" s="899"/>
      <c r="K71" s="899"/>
      <c r="L71" s="899"/>
      <c r="M71" s="899"/>
      <c r="N71" s="899"/>
      <c r="O71" s="899"/>
      <c r="P71" s="899"/>
      <c r="Q71" s="899"/>
      <c r="R71" s="899"/>
      <c r="S71" s="899"/>
      <c r="T71" s="899"/>
      <c r="U71" s="899"/>
      <c r="V71" s="899"/>
      <c r="W71" s="899"/>
      <c r="X71" s="899"/>
      <c r="Y71" s="899"/>
      <c r="Z71" s="899"/>
      <c r="AA71" s="899"/>
      <c r="AB71" s="899"/>
      <c r="AC71" s="899"/>
    </row>
    <row r="72" spans="1:32">
      <c r="A72" s="899"/>
      <c r="B72" s="899"/>
      <c r="C72" s="899"/>
      <c r="D72" s="899"/>
      <c r="E72" s="899"/>
      <c r="F72" s="899"/>
      <c r="G72" s="899"/>
      <c r="H72" s="899"/>
      <c r="I72" s="899"/>
      <c r="J72" s="899"/>
      <c r="K72" s="899"/>
      <c r="L72" s="899"/>
      <c r="M72" s="899"/>
      <c r="N72" s="899"/>
      <c r="O72" s="899"/>
      <c r="P72" s="899"/>
      <c r="Q72" s="899"/>
      <c r="R72" s="899"/>
      <c r="S72" s="899"/>
      <c r="T72" s="899"/>
      <c r="U72" s="899"/>
      <c r="V72" s="899"/>
      <c r="W72" s="899"/>
      <c r="X72" s="899"/>
      <c r="Y72" s="899"/>
      <c r="Z72" s="899"/>
      <c r="AA72" s="899"/>
      <c r="AB72" s="899"/>
      <c r="AC72" s="899"/>
    </row>
    <row r="73" spans="1:32">
      <c r="A73" s="899"/>
      <c r="B73" s="899"/>
      <c r="C73" s="899"/>
      <c r="D73" s="899"/>
      <c r="E73" s="899"/>
      <c r="F73" s="899"/>
      <c r="G73" s="899"/>
      <c r="H73" s="899"/>
      <c r="I73" s="899"/>
      <c r="J73" s="899"/>
      <c r="K73" s="899"/>
      <c r="L73" s="899"/>
      <c r="M73" s="899"/>
      <c r="N73" s="899"/>
      <c r="O73" s="899"/>
      <c r="P73" s="899"/>
      <c r="Q73" s="899"/>
      <c r="R73" s="899"/>
      <c r="S73" s="899"/>
      <c r="T73" s="899"/>
      <c r="U73" s="899"/>
      <c r="V73" s="899"/>
      <c r="W73" s="899"/>
      <c r="X73" s="899"/>
      <c r="Y73" s="899"/>
      <c r="Z73" s="899"/>
      <c r="AA73" s="899"/>
      <c r="AB73" s="899"/>
      <c r="AC73" s="899"/>
    </row>
    <row r="74" spans="1:32">
      <c r="A74" s="899"/>
      <c r="B74" s="899"/>
      <c r="C74" s="899"/>
      <c r="D74" s="899"/>
      <c r="E74" s="899"/>
      <c r="F74" s="899"/>
      <c r="G74" s="899"/>
      <c r="H74" s="899"/>
      <c r="I74" s="899"/>
      <c r="J74" s="899"/>
      <c r="K74" s="899"/>
      <c r="L74" s="899"/>
      <c r="M74" s="899"/>
      <c r="N74" s="899"/>
      <c r="O74" s="899"/>
      <c r="P74" s="899"/>
      <c r="Q74" s="899"/>
      <c r="R74" s="899"/>
      <c r="S74" s="899"/>
      <c r="T74" s="899"/>
      <c r="U74" s="899"/>
      <c r="V74" s="899"/>
      <c r="W74" s="899"/>
      <c r="X74" s="899"/>
      <c r="Y74" s="899"/>
      <c r="Z74" s="899"/>
      <c r="AA74" s="899"/>
      <c r="AB74" s="899"/>
      <c r="AC74" s="899"/>
    </row>
    <row r="75" spans="1:32">
      <c r="A75" s="899"/>
      <c r="B75" s="899"/>
      <c r="C75" s="899"/>
      <c r="D75" s="899"/>
      <c r="E75" s="899"/>
      <c r="F75" s="899"/>
      <c r="G75" s="899"/>
      <c r="H75" s="899"/>
      <c r="I75" s="899"/>
      <c r="J75" s="899"/>
      <c r="K75" s="899"/>
      <c r="L75" s="899"/>
      <c r="M75" s="899"/>
      <c r="N75" s="899"/>
      <c r="O75" s="899"/>
      <c r="P75" s="899"/>
      <c r="Q75" s="899"/>
      <c r="R75" s="899"/>
      <c r="S75" s="899"/>
      <c r="T75" s="899"/>
      <c r="U75" s="899"/>
      <c r="V75" s="899"/>
      <c r="W75" s="899"/>
      <c r="X75" s="899"/>
      <c r="Y75" s="899"/>
      <c r="Z75" s="899"/>
      <c r="AA75" s="899"/>
      <c r="AB75" s="899"/>
      <c r="AC75" s="899"/>
      <c r="AE75" s="77" t="s">
        <v>501</v>
      </c>
    </row>
    <row r="76" spans="1:32" ht="15" thickBot="1">
      <c r="A76" s="899"/>
      <c r="B76" s="899"/>
      <c r="C76" s="899"/>
      <c r="D76" s="899"/>
      <c r="E76" s="899"/>
      <c r="F76" s="899"/>
      <c r="G76" s="899"/>
      <c r="H76" s="899"/>
      <c r="I76" s="899"/>
      <c r="J76" s="899"/>
      <c r="K76" s="899"/>
      <c r="L76" s="899"/>
      <c r="M76" s="899"/>
      <c r="N76" s="899"/>
      <c r="O76" s="899"/>
      <c r="P76" s="899"/>
      <c r="Q76" s="899"/>
      <c r="R76" s="899"/>
      <c r="S76" s="899"/>
      <c r="T76" s="899"/>
      <c r="U76" s="899"/>
      <c r="V76" s="899"/>
      <c r="W76" s="899"/>
      <c r="X76" s="899"/>
      <c r="Y76" s="899"/>
      <c r="Z76" s="899"/>
      <c r="AA76" s="899"/>
      <c r="AB76" s="899"/>
      <c r="AC76" s="899"/>
      <c r="AE76" s="116" t="s">
        <v>569</v>
      </c>
    </row>
    <row r="77" spans="1:32" ht="15" customHeight="1">
      <c r="A77" s="899"/>
      <c r="B77" s="899"/>
      <c r="C77" s="899"/>
      <c r="D77" s="899"/>
      <c r="E77" s="899"/>
      <c r="F77" s="899"/>
      <c r="G77" s="899"/>
      <c r="H77" s="899"/>
      <c r="I77" s="899"/>
      <c r="J77" s="899"/>
      <c r="K77" s="899"/>
      <c r="L77" s="899"/>
      <c r="M77" s="899"/>
      <c r="N77" s="899"/>
      <c r="O77" s="899"/>
      <c r="P77" s="899"/>
      <c r="Q77" s="899"/>
      <c r="R77" s="899"/>
      <c r="S77" s="899"/>
      <c r="T77" s="899"/>
      <c r="U77" s="899"/>
      <c r="V77" s="899"/>
      <c r="W77" s="899"/>
      <c r="X77" s="899"/>
      <c r="Y77" s="899"/>
      <c r="Z77" s="899"/>
      <c r="AA77" s="899"/>
      <c r="AB77" s="899"/>
      <c r="AC77" s="899"/>
      <c r="AE77" s="1848" t="s">
        <v>33</v>
      </c>
      <c r="AF77" s="1849"/>
    </row>
    <row r="78" spans="1:32" ht="55.2">
      <c r="A78" s="899"/>
      <c r="B78" s="899"/>
      <c r="C78" s="899"/>
      <c r="D78" s="899"/>
      <c r="E78" s="899"/>
      <c r="F78" s="899"/>
      <c r="G78" s="899"/>
      <c r="H78" s="899"/>
      <c r="I78" s="899"/>
      <c r="J78" s="899"/>
      <c r="K78" s="899"/>
      <c r="L78" s="899"/>
      <c r="M78" s="899"/>
      <c r="N78" s="899"/>
      <c r="O78" s="899"/>
      <c r="P78" s="899"/>
      <c r="Q78" s="899"/>
      <c r="R78" s="899"/>
      <c r="S78" s="899"/>
      <c r="T78" s="899"/>
      <c r="U78" s="899"/>
      <c r="V78" s="899"/>
      <c r="W78" s="899"/>
      <c r="X78" s="899"/>
      <c r="Y78" s="899"/>
      <c r="Z78" s="899"/>
      <c r="AA78" s="899"/>
      <c r="AB78" s="899"/>
      <c r="AC78" s="899"/>
      <c r="AE78" s="919" t="s">
        <v>34</v>
      </c>
      <c r="AF78" s="918">
        <v>328</v>
      </c>
    </row>
    <row r="79" spans="1:32" ht="27.6">
      <c r="A79" s="899"/>
      <c r="B79" s="899"/>
      <c r="C79" s="899"/>
      <c r="D79" s="899"/>
      <c r="E79" s="899"/>
      <c r="F79" s="899"/>
      <c r="G79" s="899"/>
      <c r="H79" s="899"/>
      <c r="I79" s="899"/>
      <c r="J79" s="899"/>
      <c r="K79" s="899"/>
      <c r="L79" s="899"/>
      <c r="M79" s="899"/>
      <c r="N79" s="899"/>
      <c r="O79" s="899"/>
      <c r="P79" s="899"/>
      <c r="Q79" s="899"/>
      <c r="R79" s="899"/>
      <c r="S79" s="899"/>
      <c r="T79" s="899"/>
      <c r="U79" s="899"/>
      <c r="V79" s="899"/>
      <c r="W79" s="899"/>
      <c r="X79" s="899"/>
      <c r="Y79" s="899"/>
      <c r="Z79" s="899"/>
      <c r="AA79" s="899"/>
      <c r="AB79" s="899"/>
      <c r="AC79" s="899"/>
      <c r="AE79" s="919" t="s">
        <v>35</v>
      </c>
      <c r="AF79" s="918">
        <v>328825</v>
      </c>
    </row>
    <row r="80" spans="1:32" ht="15" thickBot="1">
      <c r="A80" s="915" t="s">
        <v>169</v>
      </c>
      <c r="B80" s="899"/>
      <c r="C80" s="899"/>
      <c r="D80" s="899"/>
      <c r="E80" s="899"/>
      <c r="F80" s="899"/>
      <c r="G80" s="899"/>
      <c r="H80" s="899"/>
      <c r="I80" s="899"/>
      <c r="J80" s="899"/>
      <c r="K80" s="915" t="s">
        <v>172</v>
      </c>
      <c r="L80" s="899"/>
      <c r="M80" s="899"/>
      <c r="N80" s="899"/>
      <c r="O80" s="899"/>
      <c r="P80" s="899"/>
      <c r="Q80" s="899"/>
      <c r="R80" s="899"/>
      <c r="S80" s="899"/>
      <c r="T80" s="899"/>
      <c r="U80" s="915" t="s">
        <v>251</v>
      </c>
      <c r="V80" s="899"/>
      <c r="W80" s="899"/>
      <c r="X80" s="899"/>
      <c r="Y80" s="899"/>
      <c r="Z80" s="899"/>
      <c r="AA80" s="899"/>
      <c r="AB80" s="899"/>
      <c r="AC80" s="899"/>
      <c r="AE80" s="843"/>
    </row>
    <row r="81" spans="1:47" ht="30" customHeight="1">
      <c r="A81" s="1891" t="s">
        <v>167</v>
      </c>
      <c r="B81" s="1892"/>
      <c r="C81" s="1892"/>
      <c r="D81" s="1892"/>
      <c r="E81" s="1892"/>
      <c r="F81" s="1892"/>
      <c r="G81" s="1892"/>
      <c r="H81" s="1892"/>
      <c r="I81" s="899"/>
      <c r="J81" s="899"/>
      <c r="K81" s="1891" t="s">
        <v>167</v>
      </c>
      <c r="L81" s="1892"/>
      <c r="M81" s="1892"/>
      <c r="N81" s="1892"/>
      <c r="O81" s="1892"/>
      <c r="P81" s="1892"/>
      <c r="Q81" s="1892"/>
      <c r="R81" s="1892"/>
      <c r="S81" s="899"/>
      <c r="T81" s="899"/>
      <c r="U81" s="1891" t="s">
        <v>167</v>
      </c>
      <c r="V81" s="1892"/>
      <c r="W81" s="1892"/>
      <c r="X81" s="1892"/>
      <c r="Y81" s="1892"/>
      <c r="Z81" s="1892"/>
      <c r="AA81" s="1892"/>
      <c r="AB81" s="1892"/>
      <c r="AC81" s="899"/>
      <c r="AE81" s="1848" t="s">
        <v>167</v>
      </c>
      <c r="AF81" s="1849"/>
      <c r="AG81" s="1849"/>
      <c r="AH81" s="1849"/>
      <c r="AI81" s="1849"/>
      <c r="AJ81" s="1849"/>
      <c r="AK81" s="1849"/>
      <c r="AL81" s="1849"/>
    </row>
    <row r="82" spans="1:47" ht="45" customHeight="1">
      <c r="A82" s="1893" t="s">
        <v>168</v>
      </c>
      <c r="B82" s="1890" t="s">
        <v>2</v>
      </c>
      <c r="C82" s="909" t="s">
        <v>16</v>
      </c>
      <c r="D82" s="909" t="s">
        <v>82</v>
      </c>
      <c r="E82" s="1890" t="s">
        <v>3</v>
      </c>
      <c r="F82" s="909" t="s">
        <v>84</v>
      </c>
      <c r="G82" s="1890" t="s">
        <v>85</v>
      </c>
      <c r="H82" s="1890"/>
      <c r="I82" s="899"/>
      <c r="J82" s="899"/>
      <c r="K82" s="1893" t="s">
        <v>168</v>
      </c>
      <c r="L82" s="1890" t="s">
        <v>2</v>
      </c>
      <c r="M82" s="909" t="s">
        <v>16</v>
      </c>
      <c r="N82" s="909" t="s">
        <v>82</v>
      </c>
      <c r="O82" s="1890" t="s">
        <v>3</v>
      </c>
      <c r="P82" s="909" t="s">
        <v>84</v>
      </c>
      <c r="Q82" s="1890" t="s">
        <v>85</v>
      </c>
      <c r="R82" s="1890"/>
      <c r="S82" s="899"/>
      <c r="T82" s="899"/>
      <c r="U82" s="1893" t="s">
        <v>168</v>
      </c>
      <c r="V82" s="1890" t="s">
        <v>2</v>
      </c>
      <c r="W82" s="909" t="s">
        <v>16</v>
      </c>
      <c r="X82" s="909" t="s">
        <v>82</v>
      </c>
      <c r="Y82" s="1890" t="s">
        <v>3</v>
      </c>
      <c r="Z82" s="909" t="s">
        <v>84</v>
      </c>
      <c r="AA82" s="1890" t="s">
        <v>85</v>
      </c>
      <c r="AB82" s="1890"/>
      <c r="AC82" s="899"/>
      <c r="AE82" s="1845" t="s">
        <v>168</v>
      </c>
      <c r="AF82" s="1846" t="s">
        <v>2</v>
      </c>
      <c r="AG82" s="917" t="s">
        <v>16</v>
      </c>
      <c r="AH82" s="917" t="s">
        <v>82</v>
      </c>
      <c r="AI82" s="1846" t="s">
        <v>3</v>
      </c>
      <c r="AJ82" s="917" t="s">
        <v>84</v>
      </c>
      <c r="AK82" s="1846" t="s">
        <v>85</v>
      </c>
      <c r="AL82" s="1846"/>
    </row>
    <row r="83" spans="1:47" ht="15" customHeight="1" thickBot="1">
      <c r="A83" s="1893"/>
      <c r="B83" s="1890"/>
      <c r="C83" s="909" t="s">
        <v>2</v>
      </c>
      <c r="D83" s="909" t="s">
        <v>83</v>
      </c>
      <c r="E83" s="1890"/>
      <c r="F83" s="909" t="s">
        <v>3</v>
      </c>
      <c r="G83" s="1890" t="s">
        <v>86</v>
      </c>
      <c r="H83" s="1890"/>
      <c r="I83" s="899"/>
      <c r="J83" s="899"/>
      <c r="K83" s="1893"/>
      <c r="L83" s="1890"/>
      <c r="M83" s="909" t="s">
        <v>2</v>
      </c>
      <c r="N83" s="909" t="s">
        <v>83</v>
      </c>
      <c r="O83" s="1890"/>
      <c r="P83" s="909" t="s">
        <v>3</v>
      </c>
      <c r="Q83" s="1890" t="s">
        <v>86</v>
      </c>
      <c r="R83" s="1890"/>
      <c r="S83" s="899"/>
      <c r="T83" s="899"/>
      <c r="U83" s="1893"/>
      <c r="V83" s="1890"/>
      <c r="W83" s="909" t="s">
        <v>2</v>
      </c>
      <c r="X83" s="909" t="s">
        <v>83</v>
      </c>
      <c r="Y83" s="1890"/>
      <c r="Z83" s="909" t="s">
        <v>3</v>
      </c>
      <c r="AA83" s="1890" t="s">
        <v>86</v>
      </c>
      <c r="AB83" s="1890"/>
      <c r="AC83" s="899"/>
      <c r="AE83" s="1845"/>
      <c r="AF83" s="1846"/>
      <c r="AG83" s="917" t="s">
        <v>2</v>
      </c>
      <c r="AH83" s="917" t="s">
        <v>83</v>
      </c>
      <c r="AI83" s="1846"/>
      <c r="AJ83" s="917" t="s">
        <v>3</v>
      </c>
      <c r="AK83" s="1846" t="s">
        <v>86</v>
      </c>
      <c r="AL83" s="1846"/>
    </row>
    <row r="84" spans="1:47" ht="15" thickTop="1">
      <c r="A84" s="907">
        <v>-99</v>
      </c>
      <c r="B84" s="908">
        <v>1</v>
      </c>
      <c r="C84" s="908">
        <v>792</v>
      </c>
      <c r="D84" s="908">
        <v>792</v>
      </c>
      <c r="E84" s="908">
        <v>0.5595</v>
      </c>
      <c r="F84" s="908">
        <v>0.56020000000000003</v>
      </c>
      <c r="G84" s="908">
        <v>0</v>
      </c>
      <c r="H84" s="908">
        <v>1.4867999999999999</v>
      </c>
      <c r="I84" s="899"/>
      <c r="J84" s="899"/>
      <c r="K84" s="907">
        <v>-98</v>
      </c>
      <c r="L84" s="908">
        <v>2</v>
      </c>
      <c r="M84" s="908">
        <v>2120</v>
      </c>
      <c r="N84" s="908">
        <v>1530</v>
      </c>
      <c r="O84" s="908">
        <v>1.4870000000000001</v>
      </c>
      <c r="P84" s="908">
        <v>1.0717000000000001</v>
      </c>
      <c r="Q84" s="908">
        <v>0</v>
      </c>
      <c r="R84" s="908">
        <v>3.2610000000000001</v>
      </c>
      <c r="S84" s="899"/>
      <c r="T84" s="899"/>
      <c r="U84" s="907">
        <v>-98</v>
      </c>
      <c r="V84" s="908">
        <v>1</v>
      </c>
      <c r="W84" s="908">
        <v>1201</v>
      </c>
      <c r="X84" s="908">
        <v>1201</v>
      </c>
      <c r="Y84" s="908">
        <v>2.6871999999999998</v>
      </c>
      <c r="Z84" s="908">
        <v>2.6945000000000001</v>
      </c>
      <c r="AA84" s="908">
        <v>0</v>
      </c>
      <c r="AB84" s="908">
        <v>7.2473000000000001</v>
      </c>
      <c r="AC84" s="899"/>
      <c r="AE84" s="919">
        <v>-99</v>
      </c>
      <c r="AF84" s="918">
        <v>1</v>
      </c>
      <c r="AG84" s="918">
        <v>792</v>
      </c>
      <c r="AH84" s="918">
        <v>792</v>
      </c>
      <c r="AI84" s="918">
        <v>0.2409</v>
      </c>
      <c r="AJ84" s="918">
        <v>0.24099999999999999</v>
      </c>
      <c r="AK84" s="918">
        <v>0</v>
      </c>
      <c r="AL84" s="918">
        <v>0.63839999999999997</v>
      </c>
      <c r="AN84" s="1418" t="s">
        <v>1007</v>
      </c>
      <c r="AO84" s="1417"/>
      <c r="AP84" s="1417"/>
      <c r="AQ84" s="1417"/>
      <c r="AR84" s="1417"/>
      <c r="AS84" s="1412"/>
    </row>
    <row r="85" spans="1:47">
      <c r="A85" s="907">
        <v>-98</v>
      </c>
      <c r="B85" s="908">
        <v>1</v>
      </c>
      <c r="C85" s="908">
        <v>1251</v>
      </c>
      <c r="D85" s="908">
        <v>1251</v>
      </c>
      <c r="E85" s="908">
        <v>0.88370000000000004</v>
      </c>
      <c r="F85" s="908">
        <v>0.88200000000000001</v>
      </c>
      <c r="G85" s="908">
        <v>0</v>
      </c>
      <c r="H85" s="908">
        <v>2.3437000000000001</v>
      </c>
      <c r="I85" s="899"/>
      <c r="J85" s="899"/>
      <c r="K85" s="907">
        <v>1</v>
      </c>
      <c r="L85" s="908">
        <v>120</v>
      </c>
      <c r="M85" s="908">
        <v>115576</v>
      </c>
      <c r="N85" s="908">
        <v>5001</v>
      </c>
      <c r="O85" s="908">
        <v>81.067800000000005</v>
      </c>
      <c r="P85" s="908">
        <v>3.3698000000000001</v>
      </c>
      <c r="Q85" s="908">
        <v>75.489699999999999</v>
      </c>
      <c r="R85" s="908">
        <v>86.646000000000001</v>
      </c>
      <c r="S85" s="899"/>
      <c r="T85" s="899"/>
      <c r="U85" s="907">
        <v>1</v>
      </c>
      <c r="V85" s="908">
        <v>22</v>
      </c>
      <c r="W85" s="908">
        <v>28942</v>
      </c>
      <c r="X85" s="908">
        <v>3754</v>
      </c>
      <c r="Y85" s="908">
        <v>64.757300000000001</v>
      </c>
      <c r="Z85" s="908">
        <v>8.3389000000000006</v>
      </c>
      <c r="AA85" s="908">
        <v>50.6449</v>
      </c>
      <c r="AB85" s="908">
        <v>78.869799999999998</v>
      </c>
      <c r="AC85" s="899"/>
      <c r="AE85" s="919">
        <v>-98</v>
      </c>
      <c r="AF85" s="918">
        <v>4</v>
      </c>
      <c r="AG85" s="918">
        <v>4572</v>
      </c>
      <c r="AH85" s="918">
        <v>2306</v>
      </c>
      <c r="AI85" s="918">
        <v>1.3904000000000001</v>
      </c>
      <c r="AJ85" s="918">
        <v>0.7</v>
      </c>
      <c r="AK85" s="918">
        <v>0.23580000000000001</v>
      </c>
      <c r="AL85" s="918">
        <v>2.5449999999999999</v>
      </c>
      <c r="AN85" s="1420" t="s">
        <v>261</v>
      </c>
      <c r="AO85" s="334" t="s">
        <v>1011</v>
      </c>
      <c r="AP85" s="334" t="s">
        <v>1012</v>
      </c>
      <c r="AQ85" s="334"/>
      <c r="AR85" s="334"/>
      <c r="AS85" s="1414"/>
      <c r="AU85" t="s">
        <v>603</v>
      </c>
    </row>
    <row r="86" spans="1:47">
      <c r="A86" s="907">
        <v>1</v>
      </c>
      <c r="B86" s="908">
        <v>111</v>
      </c>
      <c r="C86" s="908">
        <v>108369</v>
      </c>
      <c r="D86" s="908">
        <v>5395</v>
      </c>
      <c r="E86" s="908">
        <v>76.550700000000006</v>
      </c>
      <c r="F86" s="908">
        <v>3.4982000000000002</v>
      </c>
      <c r="G86" s="908">
        <v>70.760000000000005</v>
      </c>
      <c r="H86" s="908">
        <v>82.341399999999993</v>
      </c>
      <c r="I86" s="899"/>
      <c r="J86" s="899"/>
      <c r="K86" s="907">
        <v>2</v>
      </c>
      <c r="L86" s="908">
        <v>25</v>
      </c>
      <c r="M86" s="908">
        <v>24871</v>
      </c>
      <c r="N86" s="908">
        <v>4707</v>
      </c>
      <c r="O86" s="908">
        <v>17.4451</v>
      </c>
      <c r="P86" s="908">
        <v>3.2603</v>
      </c>
      <c r="Q86" s="908">
        <v>12.0482</v>
      </c>
      <c r="R86" s="908">
        <v>22.842099999999999</v>
      </c>
      <c r="S86" s="899"/>
      <c r="T86" s="899"/>
      <c r="U86" s="907">
        <v>2</v>
      </c>
      <c r="V86" s="908">
        <v>11</v>
      </c>
      <c r="W86" s="908">
        <v>14550</v>
      </c>
      <c r="X86" s="908">
        <v>3678</v>
      </c>
      <c r="Y86" s="908">
        <v>32.555399999999999</v>
      </c>
      <c r="Z86" s="908">
        <v>8.1945999999999994</v>
      </c>
      <c r="AA86" s="908">
        <v>18.687200000000001</v>
      </c>
      <c r="AB86" s="908">
        <v>46.423699999999997</v>
      </c>
      <c r="AC86" s="899"/>
      <c r="AE86" s="919">
        <v>1</v>
      </c>
      <c r="AF86" s="898">
        <v>253</v>
      </c>
      <c r="AG86" s="918">
        <v>252887</v>
      </c>
      <c r="AH86" s="918">
        <v>8249</v>
      </c>
      <c r="AI86" s="994">
        <v>0.76906300000000005</v>
      </c>
      <c r="AJ86" s="994">
        <v>2.3935999999999999E-2</v>
      </c>
      <c r="AK86" s="918">
        <v>72.957899999999995</v>
      </c>
      <c r="AL86" s="918">
        <v>80.854600000000005</v>
      </c>
      <c r="AN86" s="1413">
        <f>AI86/SUM($AI$86:$AI$87)</f>
        <v>0.78181598230333194</v>
      </c>
      <c r="AO86" s="1410"/>
      <c r="AP86" s="1410"/>
      <c r="AQ86" s="1410"/>
      <c r="AR86" s="1894" t="s">
        <v>1008</v>
      </c>
      <c r="AS86" s="1895"/>
      <c r="AU86">
        <f>SQRT(AI86*(1-AI86)/(AF86+AF87))</f>
        <v>2.3449115057929158E-2</v>
      </c>
    </row>
    <row r="87" spans="1:47" ht="15" thickBot="1">
      <c r="A87" s="907">
        <v>2</v>
      </c>
      <c r="B87" s="908">
        <v>34</v>
      </c>
      <c r="C87" s="908">
        <v>31153</v>
      </c>
      <c r="D87" s="908">
        <v>4766</v>
      </c>
      <c r="E87" s="908">
        <v>22.0061</v>
      </c>
      <c r="F87" s="908">
        <v>3.4077999999999999</v>
      </c>
      <c r="G87" s="908">
        <v>16.364999999999998</v>
      </c>
      <c r="H87" s="908">
        <v>27.647300000000001</v>
      </c>
      <c r="I87" s="899"/>
      <c r="J87" s="899"/>
      <c r="K87" s="907" t="s">
        <v>5</v>
      </c>
      <c r="L87" s="908">
        <v>147</v>
      </c>
      <c r="M87" s="908">
        <v>142567</v>
      </c>
      <c r="N87" s="908">
        <v>2460</v>
      </c>
      <c r="O87" s="908">
        <v>100</v>
      </c>
      <c r="P87" s="908"/>
      <c r="Q87" s="908"/>
      <c r="R87" s="908"/>
      <c r="S87" s="899"/>
      <c r="T87" s="899"/>
      <c r="U87" s="907" t="s">
        <v>5</v>
      </c>
      <c r="V87" s="908">
        <v>34</v>
      </c>
      <c r="W87" s="908">
        <v>44693</v>
      </c>
      <c r="X87" s="908">
        <v>614.96630000000005</v>
      </c>
      <c r="Y87" s="908">
        <v>100</v>
      </c>
      <c r="Z87" s="908"/>
      <c r="AA87" s="908"/>
      <c r="AB87" s="908"/>
      <c r="AC87" s="899"/>
      <c r="AE87" s="919">
        <v>2</v>
      </c>
      <c r="AF87" s="898">
        <v>70</v>
      </c>
      <c r="AG87" s="918">
        <v>70574</v>
      </c>
      <c r="AH87" s="918">
        <v>7729</v>
      </c>
      <c r="AI87" s="994">
        <v>0.21462500000000001</v>
      </c>
      <c r="AJ87" s="994">
        <v>2.3292E-2</v>
      </c>
      <c r="AK87" s="918">
        <v>17.6205</v>
      </c>
      <c r="AL87" s="918">
        <v>25.304500000000001</v>
      </c>
      <c r="AN87" s="1415">
        <f>AI87/SUM($AI$86:$AI$87)</f>
        <v>0.21818401769666804</v>
      </c>
      <c r="AO87" s="1427"/>
      <c r="AP87" s="1427"/>
      <c r="AQ87" s="1427"/>
      <c r="AR87" s="1896"/>
      <c r="AS87" s="1897"/>
      <c r="AU87" s="916">
        <f>SQRT(AI87*(1-AI87)/(AF86+AF87))</f>
        <v>2.2844277614685958E-2</v>
      </c>
    </row>
    <row r="88" spans="1:47" ht="15" thickTop="1">
      <c r="A88" s="907" t="s">
        <v>5</v>
      </c>
      <c r="B88" s="908">
        <v>147</v>
      </c>
      <c r="C88" s="908">
        <v>141565</v>
      </c>
      <c r="D88" s="908">
        <v>1962</v>
      </c>
      <c r="E88" s="908">
        <v>100</v>
      </c>
      <c r="F88" s="908"/>
      <c r="G88" s="908"/>
      <c r="H88" s="908"/>
      <c r="I88" s="899"/>
      <c r="J88" s="899"/>
      <c r="K88" s="899"/>
      <c r="L88" s="899"/>
      <c r="M88" s="899"/>
      <c r="N88" s="899"/>
      <c r="O88" s="899"/>
      <c r="P88" s="899"/>
      <c r="Q88" s="899"/>
      <c r="R88" s="899"/>
      <c r="S88" s="899"/>
      <c r="T88" s="899"/>
      <c r="U88" s="899"/>
      <c r="V88" s="899"/>
      <c r="W88" s="899"/>
      <c r="X88" s="899"/>
      <c r="Y88" s="899"/>
      <c r="Z88" s="899"/>
      <c r="AA88" s="899"/>
      <c r="AB88" s="899"/>
      <c r="AC88" s="899"/>
      <c r="AE88" s="919" t="s">
        <v>5</v>
      </c>
      <c r="AF88" s="918">
        <v>328</v>
      </c>
      <c r="AG88" s="918">
        <v>328825</v>
      </c>
      <c r="AH88" s="918">
        <v>3733</v>
      </c>
      <c r="AI88" s="918">
        <v>100</v>
      </c>
      <c r="AJ88" s="918"/>
      <c r="AK88" s="918"/>
      <c r="AL88" s="918"/>
    </row>
    <row r="89" spans="1:47">
      <c r="A89" s="899"/>
      <c r="B89" s="899"/>
      <c r="C89" s="899"/>
      <c r="D89" s="899"/>
      <c r="E89" s="899"/>
      <c r="F89" s="899"/>
      <c r="G89" s="899"/>
      <c r="H89" s="899"/>
      <c r="I89" s="899"/>
      <c r="J89" s="899"/>
      <c r="K89" s="899"/>
      <c r="L89" s="899"/>
      <c r="M89" s="899"/>
      <c r="N89" s="899"/>
      <c r="O89" s="899"/>
      <c r="P89" s="899"/>
      <c r="Q89" s="899"/>
      <c r="R89" s="899"/>
      <c r="S89" s="899"/>
      <c r="T89" s="899"/>
      <c r="U89" s="899"/>
      <c r="V89" s="899"/>
      <c r="W89" s="899"/>
      <c r="X89" s="899"/>
      <c r="Y89" s="899"/>
      <c r="Z89" s="899"/>
      <c r="AA89" s="899"/>
      <c r="AB89" s="899"/>
      <c r="AC89" s="899"/>
    </row>
    <row r="90" spans="1:47">
      <c r="A90" s="899"/>
      <c r="B90" s="899"/>
      <c r="C90" s="899"/>
      <c r="D90" s="899"/>
      <c r="E90" s="899"/>
      <c r="F90" s="899"/>
      <c r="G90" s="899"/>
      <c r="H90" s="899"/>
      <c r="I90" s="899"/>
      <c r="J90" s="899"/>
      <c r="K90" s="899"/>
      <c r="L90" s="899"/>
      <c r="M90" s="899"/>
      <c r="N90" s="899"/>
      <c r="O90" s="899"/>
      <c r="P90" s="899"/>
      <c r="Q90" s="899"/>
      <c r="R90" s="899"/>
      <c r="S90" s="899"/>
      <c r="T90" s="899"/>
      <c r="U90" s="899"/>
      <c r="V90" s="899"/>
      <c r="W90" s="899"/>
      <c r="X90" s="899"/>
      <c r="Y90" s="899"/>
      <c r="Z90" s="899"/>
      <c r="AA90" s="899"/>
      <c r="AB90" s="899"/>
      <c r="AC90" s="899"/>
    </row>
    <row r="91" spans="1:47" ht="15" customHeight="1"/>
    <row r="92" spans="1:47" ht="45" customHeight="1"/>
    <row r="93" spans="1:47" ht="15" customHeight="1">
      <c r="AE93" s="916"/>
      <c r="AF93" s="916"/>
      <c r="AG93" s="916"/>
      <c r="AH93" s="916"/>
      <c r="AI93" s="916"/>
      <c r="AJ93" s="916"/>
      <c r="AK93" s="916"/>
      <c r="AL93" s="916"/>
    </row>
    <row r="97" spans="1:8">
      <c r="A97" s="159"/>
      <c r="B97" s="79"/>
      <c r="C97" s="79"/>
      <c r="D97" s="79"/>
      <c r="E97" s="79"/>
      <c r="F97" s="79"/>
      <c r="G97" s="79"/>
      <c r="H97" s="79"/>
    </row>
    <row r="98" spans="1:8">
      <c r="A98" s="159"/>
      <c r="B98" s="79"/>
      <c r="C98" s="79"/>
      <c r="D98" s="79"/>
      <c r="E98" s="79"/>
      <c r="F98" s="79"/>
      <c r="G98" s="79"/>
      <c r="H98" s="79"/>
    </row>
  </sheetData>
  <customSheetViews>
    <customSheetView guid="{7E8F70E7-08A0-442B-A100-F92E13F1F337}" topLeftCell="A31">
      <selection activeCell="F59" sqref="F59"/>
      <pageMargins left="0.7" right="0.7" top="0.75" bottom="0.75" header="0.3" footer="0.3"/>
    </customSheetView>
    <customSheetView guid="{223C1DCA-941C-47FC-83AC-426B3DB3086A}" topLeftCell="A4">
      <selection activeCell="U2" sqref="A2:U2"/>
      <pageMargins left="0.7" right="0.7" top="0.75" bottom="0.75" header="0.3" footer="0.3"/>
    </customSheetView>
    <customSheetView guid="{BA0BA4AB-C6A1-41FF-8782-C05227E92BEB}" topLeftCell="A31">
      <selection activeCell="F59" sqref="F59"/>
      <pageMargins left="0.7" right="0.7" top="0.75" bottom="0.75" header="0.3" footer="0.3"/>
    </customSheetView>
    <customSheetView guid="{52F27401-6741-4136-9223-9843499AE81D}" topLeftCell="A10">
      <selection activeCell="Q34" sqref="Q34"/>
      <pageMargins left="0.7" right="0.7" top="0.75" bottom="0.75" header="0.3" footer="0.3"/>
      <pageSetup orientation="portrait" r:id="rId1"/>
    </customSheetView>
  </customSheetViews>
  <mergeCells count="58">
    <mergeCell ref="AR86:AS87"/>
    <mergeCell ref="K81:R81"/>
    <mergeCell ref="K82:K83"/>
    <mergeCell ref="AF30:AG30"/>
    <mergeCell ref="A35:B35"/>
    <mergeCell ref="L82:L83"/>
    <mergeCell ref="O82:O83"/>
    <mergeCell ref="Q82:R82"/>
    <mergeCell ref="Q83:R83"/>
    <mergeCell ref="U81:AB81"/>
    <mergeCell ref="U82:U83"/>
    <mergeCell ref="V82:V83"/>
    <mergeCell ref="U33:AB33"/>
    <mergeCell ref="AE81:AL81"/>
    <mergeCell ref="AE82:AE83"/>
    <mergeCell ref="AF82:AF83"/>
    <mergeCell ref="AF34:AM34"/>
    <mergeCell ref="A9:B9"/>
    <mergeCell ref="A81:H81"/>
    <mergeCell ref="A82:A83"/>
    <mergeCell ref="B82:B83"/>
    <mergeCell ref="E82:E83"/>
    <mergeCell ref="G82:H82"/>
    <mergeCell ref="G83:H83"/>
    <mergeCell ref="U25:AB25"/>
    <mergeCell ref="U26:U27"/>
    <mergeCell ref="V26:V27"/>
    <mergeCell ref="Y26:Y27"/>
    <mergeCell ref="AA26:AB26"/>
    <mergeCell ref="AA27:AB27"/>
    <mergeCell ref="AL35:AM35"/>
    <mergeCell ref="AL36:AM36"/>
    <mergeCell ref="Y82:Y83"/>
    <mergeCell ref="AA82:AB82"/>
    <mergeCell ref="AI82:AI83"/>
    <mergeCell ref="AK82:AL82"/>
    <mergeCell ref="AK83:AL83"/>
    <mergeCell ref="AE77:AF77"/>
    <mergeCell ref="AF35:AF36"/>
    <mergeCell ref="AG35:AG36"/>
    <mergeCell ref="AJ35:AJ36"/>
    <mergeCell ref="AA83:AB83"/>
    <mergeCell ref="AR16:AY16"/>
    <mergeCell ref="BA4:BB4"/>
    <mergeCell ref="BA8:BH8"/>
    <mergeCell ref="BA9:BA10"/>
    <mergeCell ref="BB9:BB10"/>
    <mergeCell ref="BE9:BE10"/>
    <mergeCell ref="BG9:BH9"/>
    <mergeCell ref="BG10:BH10"/>
    <mergeCell ref="BA16:BH16"/>
    <mergeCell ref="AR4:AS4"/>
    <mergeCell ref="AR8:AY8"/>
    <mergeCell ref="AR9:AR10"/>
    <mergeCell ref="AS9:AS10"/>
    <mergeCell ref="AV9:AV10"/>
    <mergeCell ref="AX9:AY9"/>
    <mergeCell ref="AX10:AY10"/>
  </mergeCells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84"/>
  <sheetViews>
    <sheetView topLeftCell="P74" workbookViewId="0">
      <selection activeCell="AI84" sqref="AI84"/>
    </sheetView>
  </sheetViews>
  <sheetFormatPr defaultColWidth="9.109375" defaultRowHeight="14.4"/>
  <cols>
    <col min="1" max="1" width="27.109375" style="11" bestFit="1" customWidth="1"/>
    <col min="2" max="2" width="12" style="11" bestFit="1" customWidth="1"/>
    <col min="3" max="4" width="15.109375" style="11" customWidth="1"/>
    <col min="5" max="5" width="10.44140625" style="11" bestFit="1" customWidth="1"/>
    <col min="6" max="6" width="10.88671875" style="11" bestFit="1" customWidth="1"/>
    <col min="7" max="8" width="8.5546875" style="11" bestFit="1" customWidth="1"/>
    <col min="9" max="10" width="6.109375" style="11" bestFit="1" customWidth="1"/>
    <col min="11" max="14" width="9.33203125" style="11" bestFit="1" customWidth="1"/>
    <col min="15" max="15" width="10.44140625" style="11" bestFit="1" customWidth="1"/>
    <col min="16" max="18" width="9.33203125" style="11" bestFit="1" customWidth="1"/>
    <col min="19" max="20" width="9.109375" style="11"/>
    <col min="21" max="23" width="9.33203125" style="11" bestFit="1" customWidth="1"/>
    <col min="24" max="24" width="10.6640625" style="11" bestFit="1" customWidth="1"/>
    <col min="25" max="25" width="10.44140625" style="11" bestFit="1" customWidth="1"/>
    <col min="26" max="16384" width="9.109375" style="11"/>
  </cols>
  <sheetData>
    <row r="2" spans="1:57" ht="36.6">
      <c r="A2" s="171" t="s">
        <v>154</v>
      </c>
      <c r="K2" s="171" t="s">
        <v>174</v>
      </c>
      <c r="U2" s="171" t="s">
        <v>175</v>
      </c>
      <c r="AD2" s="171" t="s">
        <v>353</v>
      </c>
      <c r="AO2" s="171" t="s">
        <v>575</v>
      </c>
      <c r="AP2" s="643"/>
      <c r="AQ2" s="643"/>
      <c r="AR2" s="643"/>
      <c r="AS2" s="643"/>
      <c r="AT2" s="643"/>
      <c r="AU2" s="643"/>
      <c r="AV2" s="643"/>
      <c r="AW2" s="643"/>
      <c r="AX2" s="171" t="s">
        <v>577</v>
      </c>
      <c r="AY2" s="643"/>
    </row>
    <row r="3" spans="1:57" ht="15" thickBot="1">
      <c r="A3" s="76" t="s">
        <v>78</v>
      </c>
      <c r="B3"/>
      <c r="C3"/>
      <c r="D3"/>
      <c r="E3"/>
      <c r="F3"/>
      <c r="G3"/>
      <c r="H3"/>
    </row>
    <row r="4" spans="1:57" ht="36.6" customHeight="1">
      <c r="A4" s="103" t="s">
        <v>98</v>
      </c>
      <c r="B4" s="104"/>
      <c r="C4" s="104"/>
      <c r="D4" s="104"/>
      <c r="E4" s="104"/>
      <c r="F4" s="104"/>
      <c r="G4" s="104"/>
      <c r="H4" s="104"/>
      <c r="AO4" s="1848" t="s">
        <v>33</v>
      </c>
      <c r="AP4" s="1849"/>
      <c r="AQ4"/>
      <c r="AR4"/>
      <c r="AS4"/>
      <c r="AT4"/>
      <c r="AU4"/>
      <c r="AV4"/>
      <c r="AX4" s="1848" t="s">
        <v>33</v>
      </c>
      <c r="AY4" s="1849"/>
      <c r="AZ4"/>
      <c r="BA4"/>
      <c r="BB4"/>
      <c r="BC4"/>
      <c r="BD4"/>
      <c r="BE4"/>
    </row>
    <row r="5" spans="1:57" ht="14.4" customHeight="1">
      <c r="A5" s="105" t="s">
        <v>79</v>
      </c>
      <c r="B5" s="104"/>
      <c r="C5" s="104"/>
      <c r="D5" s="104"/>
      <c r="E5" s="104"/>
      <c r="F5" s="104"/>
      <c r="G5" s="104"/>
      <c r="H5" s="104"/>
      <c r="AO5" s="805" t="s">
        <v>34</v>
      </c>
      <c r="AP5" s="79">
        <v>114</v>
      </c>
      <c r="AQ5"/>
      <c r="AR5"/>
      <c r="AS5"/>
      <c r="AT5"/>
      <c r="AU5"/>
      <c r="AV5"/>
      <c r="AX5" s="805" t="s">
        <v>34</v>
      </c>
      <c r="AY5" s="79">
        <v>11</v>
      </c>
      <c r="AZ5"/>
      <c r="BA5"/>
      <c r="BB5"/>
      <c r="BC5"/>
      <c r="BD5"/>
      <c r="BE5"/>
    </row>
    <row r="6" spans="1:57" ht="28.2" thickBot="1">
      <c r="A6" s="106"/>
      <c r="B6" s="104"/>
      <c r="C6" s="104"/>
      <c r="D6" s="104"/>
      <c r="E6" s="104"/>
      <c r="F6" s="104"/>
      <c r="G6" s="104"/>
      <c r="H6" s="104"/>
      <c r="AO6" s="805" t="s">
        <v>35</v>
      </c>
      <c r="AP6" s="79">
        <v>116578</v>
      </c>
      <c r="AQ6"/>
      <c r="AR6"/>
      <c r="AS6"/>
      <c r="AT6"/>
      <c r="AU6"/>
      <c r="AV6"/>
      <c r="AX6" s="805" t="s">
        <v>35</v>
      </c>
      <c r="AY6" s="79">
        <v>11030</v>
      </c>
      <c r="AZ6"/>
      <c r="BA6"/>
      <c r="BB6"/>
      <c r="BC6"/>
      <c r="BD6"/>
      <c r="BE6"/>
    </row>
    <row r="7" spans="1:57" ht="15" customHeight="1" thickBot="1">
      <c r="A7" s="416" t="s">
        <v>33</v>
      </c>
      <c r="B7" s="417"/>
      <c r="C7" s="104"/>
      <c r="D7" s="104"/>
      <c r="E7" s="104"/>
      <c r="F7" s="104"/>
      <c r="G7" s="104"/>
      <c r="H7" s="104"/>
      <c r="AO7" s="843"/>
      <c r="AP7"/>
      <c r="AQ7"/>
      <c r="AR7"/>
      <c r="AS7"/>
      <c r="AT7"/>
      <c r="AU7"/>
      <c r="AV7"/>
      <c r="AX7" s="843"/>
      <c r="AY7"/>
      <c r="AZ7"/>
      <c r="BA7"/>
      <c r="BB7"/>
      <c r="BC7"/>
      <c r="BD7"/>
      <c r="BE7"/>
    </row>
    <row r="8" spans="1:57" ht="15" customHeight="1">
      <c r="A8" s="411" t="s">
        <v>34</v>
      </c>
      <c r="B8" s="107">
        <v>100</v>
      </c>
      <c r="C8" s="104"/>
      <c r="D8" s="104"/>
      <c r="E8" s="104"/>
      <c r="F8" s="104"/>
      <c r="G8" s="104"/>
      <c r="H8" s="104"/>
      <c r="AO8" s="1848" t="s">
        <v>570</v>
      </c>
      <c r="AP8" s="1849"/>
      <c r="AQ8" s="1849"/>
      <c r="AR8" s="1849"/>
      <c r="AS8" s="1849"/>
      <c r="AT8" s="1849"/>
      <c r="AU8" s="1849"/>
      <c r="AV8" s="1849"/>
      <c r="AX8" s="1848" t="s">
        <v>570</v>
      </c>
      <c r="AY8" s="1849"/>
      <c r="AZ8" s="1849"/>
      <c r="BA8" s="1849"/>
      <c r="BB8" s="1849"/>
      <c r="BC8" s="1849"/>
      <c r="BD8" s="1849"/>
      <c r="BE8" s="1849"/>
    </row>
    <row r="9" spans="1:57" ht="30" customHeight="1">
      <c r="A9" s="411" t="s">
        <v>35</v>
      </c>
      <c r="B9" s="107">
        <v>97525</v>
      </c>
      <c r="C9" s="104"/>
      <c r="D9" s="104"/>
      <c r="E9" s="104"/>
      <c r="F9" s="104"/>
      <c r="G9" s="104"/>
      <c r="H9" s="104"/>
      <c r="AO9" s="1845" t="s">
        <v>571</v>
      </c>
      <c r="AP9" s="1846" t="s">
        <v>2</v>
      </c>
      <c r="AQ9" s="815" t="s">
        <v>16</v>
      </c>
      <c r="AR9" s="815" t="s">
        <v>82</v>
      </c>
      <c r="AS9" s="1846" t="s">
        <v>3</v>
      </c>
      <c r="AT9" s="815" t="s">
        <v>84</v>
      </c>
      <c r="AU9" s="1846" t="s">
        <v>85</v>
      </c>
      <c r="AV9" s="1846"/>
      <c r="AX9" s="1845" t="s">
        <v>571</v>
      </c>
      <c r="AY9" s="1846" t="s">
        <v>2</v>
      </c>
      <c r="AZ9" s="815" t="s">
        <v>16</v>
      </c>
      <c r="BA9" s="815" t="s">
        <v>82</v>
      </c>
      <c r="BB9" s="1846" t="s">
        <v>3</v>
      </c>
      <c r="BC9" s="815" t="s">
        <v>84</v>
      </c>
      <c r="BD9" s="1846" t="s">
        <v>85</v>
      </c>
      <c r="BE9" s="1846"/>
    </row>
    <row r="10" spans="1:57" ht="28.2" thickBot="1">
      <c r="A10" s="106"/>
      <c r="B10" s="104"/>
      <c r="C10" s="104"/>
      <c r="D10" s="104"/>
      <c r="E10" s="104"/>
      <c r="F10" s="104"/>
      <c r="G10" s="104"/>
      <c r="H10" s="104"/>
      <c r="AO10" s="1845"/>
      <c r="AP10" s="1846"/>
      <c r="AQ10" s="815" t="s">
        <v>2</v>
      </c>
      <c r="AR10" s="815" t="s">
        <v>83</v>
      </c>
      <c r="AS10" s="1846"/>
      <c r="AT10" s="815" t="s">
        <v>3</v>
      </c>
      <c r="AU10" s="1846" t="s">
        <v>86</v>
      </c>
      <c r="AV10" s="1846"/>
      <c r="AX10" s="1845"/>
      <c r="AY10" s="1846"/>
      <c r="AZ10" s="815" t="s">
        <v>2</v>
      </c>
      <c r="BA10" s="815" t="s">
        <v>83</v>
      </c>
      <c r="BB10" s="1846"/>
      <c r="BC10" s="815" t="s">
        <v>3</v>
      </c>
      <c r="BD10" s="1846" t="s">
        <v>86</v>
      </c>
      <c r="BE10" s="1846"/>
    </row>
    <row r="11" spans="1:57" ht="15" customHeight="1">
      <c r="A11" s="163" t="s">
        <v>94</v>
      </c>
      <c r="B11" s="164"/>
      <c r="C11" s="164"/>
      <c r="D11" s="164"/>
      <c r="E11" s="164"/>
      <c r="F11" s="164"/>
      <c r="G11" s="164"/>
      <c r="H11" s="164"/>
      <c r="K11" s="416" t="s">
        <v>94</v>
      </c>
      <c r="L11" s="417"/>
      <c r="M11" s="417"/>
      <c r="N11" s="417"/>
      <c r="O11" s="417"/>
      <c r="P11" s="417"/>
      <c r="Q11" s="417"/>
      <c r="R11" s="417"/>
      <c r="U11" s="416" t="s">
        <v>94</v>
      </c>
      <c r="V11" s="417"/>
      <c r="W11" s="417"/>
      <c r="X11" s="417"/>
      <c r="Y11" s="417"/>
      <c r="Z11" s="417"/>
      <c r="AA11" s="417"/>
      <c r="AB11" s="417"/>
      <c r="AD11" s="416" t="s">
        <v>94</v>
      </c>
      <c r="AE11" s="417"/>
      <c r="AF11" s="417"/>
      <c r="AG11" s="417"/>
      <c r="AH11" s="417"/>
      <c r="AI11" s="417"/>
      <c r="AJ11" s="417"/>
      <c r="AK11" s="417"/>
      <c r="AO11" s="805" t="s">
        <v>572</v>
      </c>
      <c r="AP11" s="79">
        <v>36</v>
      </c>
      <c r="AQ11" s="79">
        <v>36316</v>
      </c>
      <c r="AR11" s="79">
        <v>5118</v>
      </c>
      <c r="AS11" s="994">
        <v>0.34078700000000001</v>
      </c>
      <c r="AT11" s="938">
        <v>4.7517999999999998E-2</v>
      </c>
      <c r="AU11" s="79">
        <v>26.192499999999999</v>
      </c>
      <c r="AV11" s="79">
        <v>41.9649</v>
      </c>
      <c r="AX11" s="805" t="s">
        <v>572</v>
      </c>
      <c r="AY11" s="79">
        <v>4</v>
      </c>
      <c r="AZ11" s="79">
        <v>3704</v>
      </c>
      <c r="BA11" s="79">
        <v>1613</v>
      </c>
      <c r="BB11" s="994">
        <v>0.33581100000000003</v>
      </c>
      <c r="BC11" s="938">
        <v>0.15021999999999999</v>
      </c>
      <c r="BD11" s="79">
        <v>6.3543000000000003</v>
      </c>
      <c r="BE11" s="79">
        <v>60.808</v>
      </c>
    </row>
    <row r="12" spans="1:57" ht="45" customHeight="1">
      <c r="A12" s="411" t="s">
        <v>95</v>
      </c>
      <c r="B12" s="165" t="s">
        <v>2</v>
      </c>
      <c r="C12" s="165" t="s">
        <v>16</v>
      </c>
      <c r="D12" s="165" t="s">
        <v>82</v>
      </c>
      <c r="E12" s="165" t="s">
        <v>3</v>
      </c>
      <c r="F12" s="165" t="s">
        <v>84</v>
      </c>
      <c r="G12" s="165" t="s">
        <v>85</v>
      </c>
      <c r="H12" s="165"/>
      <c r="K12" s="411" t="s">
        <v>95</v>
      </c>
      <c r="L12" s="165" t="s">
        <v>2</v>
      </c>
      <c r="M12" s="165" t="s">
        <v>16</v>
      </c>
      <c r="N12" s="165" t="s">
        <v>82</v>
      </c>
      <c r="O12" s="165" t="s">
        <v>3</v>
      </c>
      <c r="P12" s="165" t="s">
        <v>84</v>
      </c>
      <c r="Q12" s="165" t="s">
        <v>85</v>
      </c>
      <c r="R12" s="165"/>
      <c r="U12" s="411" t="s">
        <v>95</v>
      </c>
      <c r="V12" s="165" t="s">
        <v>2</v>
      </c>
      <c r="W12" s="165" t="s">
        <v>16</v>
      </c>
      <c r="X12" s="165" t="s">
        <v>82</v>
      </c>
      <c r="Y12" s="165" t="s">
        <v>3</v>
      </c>
      <c r="Z12" s="165" t="s">
        <v>84</v>
      </c>
      <c r="AA12" s="165" t="s">
        <v>85</v>
      </c>
      <c r="AB12" s="165"/>
      <c r="AD12" s="411" t="s">
        <v>95</v>
      </c>
      <c r="AE12" s="165" t="s">
        <v>2</v>
      </c>
      <c r="AF12" s="165" t="s">
        <v>16</v>
      </c>
      <c r="AG12" s="165" t="s">
        <v>82</v>
      </c>
      <c r="AH12" s="165" t="s">
        <v>3</v>
      </c>
      <c r="AI12" s="165" t="s">
        <v>84</v>
      </c>
      <c r="AJ12" s="165" t="s">
        <v>85</v>
      </c>
      <c r="AK12" s="165"/>
      <c r="AO12" s="805" t="s">
        <v>573</v>
      </c>
      <c r="AP12" s="79">
        <v>22</v>
      </c>
      <c r="AQ12" s="79">
        <v>22872</v>
      </c>
      <c r="AR12" s="79">
        <v>4482</v>
      </c>
      <c r="AS12" s="994">
        <v>0.21462999999999999</v>
      </c>
      <c r="AT12" s="938">
        <v>4.1541000000000002E-2</v>
      </c>
      <c r="AU12" s="79">
        <v>14.5686</v>
      </c>
      <c r="AV12" s="79">
        <v>28.357299999999999</v>
      </c>
      <c r="AX12" s="805" t="s">
        <v>573</v>
      </c>
      <c r="AY12" s="79">
        <v>1</v>
      </c>
      <c r="AZ12" s="79">
        <v>826</v>
      </c>
      <c r="BA12" s="79">
        <v>826</v>
      </c>
      <c r="BB12" s="994">
        <v>7.4886999999999995E-2</v>
      </c>
      <c r="BC12" s="938">
        <v>7.6380000000000003E-2</v>
      </c>
      <c r="BD12" s="79">
        <v>0</v>
      </c>
      <c r="BE12" s="79">
        <v>21.3322</v>
      </c>
    </row>
    <row r="13" spans="1:57" ht="15" customHeight="1">
      <c r="A13" s="411"/>
      <c r="B13" s="165"/>
      <c r="C13" s="165" t="s">
        <v>2</v>
      </c>
      <c r="D13" s="165" t="s">
        <v>83</v>
      </c>
      <c r="E13" s="165"/>
      <c r="F13" s="165" t="s">
        <v>3</v>
      </c>
      <c r="G13" s="165" t="s">
        <v>86</v>
      </c>
      <c r="H13" s="165"/>
      <c r="K13" s="411"/>
      <c r="L13" s="165"/>
      <c r="M13" s="165" t="s">
        <v>2</v>
      </c>
      <c r="N13" s="165" t="s">
        <v>83</v>
      </c>
      <c r="O13" s="165"/>
      <c r="P13" s="165" t="s">
        <v>3</v>
      </c>
      <c r="Q13" s="165" t="s">
        <v>86</v>
      </c>
      <c r="R13" s="165"/>
      <c r="U13" s="411"/>
      <c r="V13" s="165"/>
      <c r="W13" s="165" t="s">
        <v>2</v>
      </c>
      <c r="X13" s="165" t="s">
        <v>83</v>
      </c>
      <c r="Y13" s="165"/>
      <c r="Z13" s="165" t="s">
        <v>3</v>
      </c>
      <c r="AA13" s="165" t="s">
        <v>86</v>
      </c>
      <c r="AB13" s="165"/>
      <c r="AD13" s="411"/>
      <c r="AE13" s="165"/>
      <c r="AF13" s="165" t="s">
        <v>2</v>
      </c>
      <c r="AG13" s="165" t="s">
        <v>83</v>
      </c>
      <c r="AH13" s="165"/>
      <c r="AI13" s="165" t="s">
        <v>3</v>
      </c>
      <c r="AJ13" s="165" t="s">
        <v>86</v>
      </c>
      <c r="AK13" s="165"/>
      <c r="AO13" s="805" t="s">
        <v>574</v>
      </c>
      <c r="AP13" s="79">
        <v>47</v>
      </c>
      <c r="AQ13" s="79">
        <v>47377</v>
      </c>
      <c r="AR13" s="79">
        <v>5348</v>
      </c>
      <c r="AS13" s="994">
        <v>0.44458300000000001</v>
      </c>
      <c r="AT13" s="938">
        <v>4.9771000000000003E-2</v>
      </c>
      <c r="AU13" s="79">
        <v>36.198099999999997</v>
      </c>
      <c r="AV13" s="79">
        <v>52.718499999999999</v>
      </c>
      <c r="AX13" s="805" t="s">
        <v>574</v>
      </c>
      <c r="AY13" s="79">
        <v>6</v>
      </c>
      <c r="AZ13" s="79">
        <v>6500</v>
      </c>
      <c r="BA13" s="79">
        <v>1957</v>
      </c>
      <c r="BB13" s="994">
        <v>0.58930199999999999</v>
      </c>
      <c r="BC13" s="938">
        <v>0.157001</v>
      </c>
      <c r="BD13" s="79">
        <v>30.474399999999999</v>
      </c>
      <c r="BE13" s="79">
        <v>87.385999999999996</v>
      </c>
    </row>
    <row r="14" spans="1:57" ht="45" customHeight="1">
      <c r="A14" s="411">
        <v>1</v>
      </c>
      <c r="B14" s="107">
        <v>50</v>
      </c>
      <c r="C14" s="107">
        <v>49713</v>
      </c>
      <c r="D14" s="107">
        <v>5138</v>
      </c>
      <c r="E14" s="424">
        <v>50.974600000000002</v>
      </c>
      <c r="F14" s="107">
        <v>5.0826000000000002</v>
      </c>
      <c r="G14" s="107">
        <v>42.535499999999999</v>
      </c>
      <c r="H14" s="107">
        <v>59.413699999999999</v>
      </c>
      <c r="K14" s="411">
        <v>1</v>
      </c>
      <c r="L14" s="107">
        <v>60</v>
      </c>
      <c r="M14" s="107">
        <v>58780</v>
      </c>
      <c r="N14" s="107">
        <v>5789</v>
      </c>
      <c r="O14" s="424">
        <v>46.087899999999998</v>
      </c>
      <c r="P14" s="107">
        <v>4.5077999999999996</v>
      </c>
      <c r="Q14" s="107">
        <v>38.619199999999999</v>
      </c>
      <c r="R14" s="107">
        <v>53.556600000000003</v>
      </c>
      <c r="U14" s="411">
        <v>1</v>
      </c>
      <c r="V14" s="107">
        <v>8</v>
      </c>
      <c r="W14" s="107">
        <v>10239</v>
      </c>
      <c r="X14" s="107">
        <v>2787</v>
      </c>
      <c r="Y14" s="424">
        <v>43.255499999999998</v>
      </c>
      <c r="Z14" s="107">
        <v>12.013500000000001</v>
      </c>
      <c r="AA14" s="107">
        <v>22.3567</v>
      </c>
      <c r="AB14" s="107">
        <v>64.154200000000003</v>
      </c>
      <c r="AD14" s="411">
        <v>1</v>
      </c>
      <c r="AE14" s="107">
        <v>8</v>
      </c>
      <c r="AF14" s="107">
        <v>8091</v>
      </c>
      <c r="AG14" s="107">
        <v>2573</v>
      </c>
      <c r="AH14" s="424">
        <v>24.422699999999999</v>
      </c>
      <c r="AI14" s="107">
        <v>7.8598999999999997</v>
      </c>
      <c r="AJ14" s="107">
        <v>11.0825</v>
      </c>
      <c r="AK14" s="107">
        <v>37.762900000000002</v>
      </c>
      <c r="AO14" s="805" t="s">
        <v>5</v>
      </c>
      <c r="AP14" s="79">
        <v>105</v>
      </c>
      <c r="AQ14" s="79">
        <v>106565</v>
      </c>
      <c r="AR14" s="79">
        <v>2234</v>
      </c>
      <c r="AS14" s="79">
        <v>100</v>
      </c>
      <c r="AT14" s="79"/>
      <c r="AU14" s="79"/>
      <c r="AV14" s="79"/>
      <c r="AX14" s="805" t="s">
        <v>5</v>
      </c>
      <c r="AY14" s="79">
        <v>11</v>
      </c>
      <c r="AZ14" s="79">
        <v>11030</v>
      </c>
      <c r="BA14" s="79">
        <v>782.35528999999997</v>
      </c>
      <c r="BB14" s="79">
        <v>100</v>
      </c>
      <c r="BC14" s="79"/>
      <c r="BD14" s="79"/>
      <c r="BE14" s="79"/>
    </row>
    <row r="15" spans="1:57" ht="15" customHeight="1">
      <c r="A15" s="411">
        <v>2</v>
      </c>
      <c r="B15" s="107">
        <v>30</v>
      </c>
      <c r="C15" s="107">
        <v>27860</v>
      </c>
      <c r="D15" s="107">
        <v>4320</v>
      </c>
      <c r="E15" s="424">
        <v>28.567</v>
      </c>
      <c r="F15" s="107">
        <v>4.5152000000000001</v>
      </c>
      <c r="G15" s="107">
        <v>21.07</v>
      </c>
      <c r="H15" s="107">
        <v>36.064</v>
      </c>
      <c r="K15" s="411">
        <v>2</v>
      </c>
      <c r="L15" s="107">
        <v>41</v>
      </c>
      <c r="M15" s="107">
        <v>40839</v>
      </c>
      <c r="N15" s="107">
        <v>5488</v>
      </c>
      <c r="O15" s="424">
        <v>32.020800000000001</v>
      </c>
      <c r="P15" s="107">
        <v>4.2358000000000002</v>
      </c>
      <c r="Q15" s="107">
        <v>25.002700000000001</v>
      </c>
      <c r="R15" s="107">
        <v>39.038899999999998</v>
      </c>
      <c r="U15" s="411">
        <v>2</v>
      </c>
      <c r="V15" s="107">
        <v>8</v>
      </c>
      <c r="W15" s="107">
        <v>10996</v>
      </c>
      <c r="X15" s="107">
        <v>2998</v>
      </c>
      <c r="Y15" s="424">
        <v>46.453499999999998</v>
      </c>
      <c r="Z15" s="107">
        <v>12.1713</v>
      </c>
      <c r="AA15" s="107">
        <v>25.280100000000001</v>
      </c>
      <c r="AB15" s="107">
        <v>67.626800000000003</v>
      </c>
      <c r="AD15" s="411">
        <v>2</v>
      </c>
      <c r="AE15" s="107">
        <v>5</v>
      </c>
      <c r="AF15" s="107">
        <v>5628</v>
      </c>
      <c r="AG15" s="107">
        <v>2417</v>
      </c>
      <c r="AH15" s="424">
        <v>16.988099999999999</v>
      </c>
      <c r="AI15" s="107">
        <v>7.1784999999999997</v>
      </c>
      <c r="AJ15" s="107">
        <v>4.8042999999999996</v>
      </c>
      <c r="AK15" s="107">
        <v>29.172000000000001</v>
      </c>
      <c r="AO15" s="1845" t="s">
        <v>579</v>
      </c>
      <c r="AP15" s="1847"/>
      <c r="AQ15" s="1847"/>
      <c r="AR15" s="1847"/>
      <c r="AS15" s="1847"/>
      <c r="AT15" s="1847"/>
      <c r="AU15" s="1847"/>
      <c r="AV15" s="1847"/>
    </row>
    <row r="16" spans="1:57">
      <c r="A16" s="411">
        <v>3</v>
      </c>
      <c r="B16" s="107">
        <v>20</v>
      </c>
      <c r="C16" s="107">
        <v>19952</v>
      </c>
      <c r="D16" s="107">
        <v>4065</v>
      </c>
      <c r="E16" s="424">
        <v>20.458300000000001</v>
      </c>
      <c r="F16" s="107">
        <v>4.1345000000000001</v>
      </c>
      <c r="G16" s="107">
        <v>13.593400000000001</v>
      </c>
      <c r="H16" s="107">
        <v>27.3233</v>
      </c>
      <c r="K16" s="411">
        <v>3</v>
      </c>
      <c r="L16" s="107">
        <v>28</v>
      </c>
      <c r="M16" s="107">
        <v>27920</v>
      </c>
      <c r="N16" s="107">
        <v>4855</v>
      </c>
      <c r="O16" s="424">
        <v>21.891300000000001</v>
      </c>
      <c r="P16" s="107">
        <v>3.7656000000000001</v>
      </c>
      <c r="Q16" s="107">
        <v>15.6524</v>
      </c>
      <c r="R16" s="107">
        <v>28.130299999999998</v>
      </c>
      <c r="U16" s="411">
        <v>3</v>
      </c>
      <c r="V16" s="107">
        <v>2</v>
      </c>
      <c r="W16" s="107">
        <v>2436</v>
      </c>
      <c r="X16" s="107">
        <v>1671</v>
      </c>
      <c r="Y16" s="424">
        <v>10.2911</v>
      </c>
      <c r="Z16" s="107">
        <v>7.1279000000000003</v>
      </c>
      <c r="AA16" s="107">
        <v>0</v>
      </c>
      <c r="AB16" s="107">
        <v>22.690799999999999</v>
      </c>
      <c r="AD16" s="411">
        <v>3</v>
      </c>
      <c r="AE16" s="107">
        <v>18</v>
      </c>
      <c r="AF16" s="107">
        <v>19410</v>
      </c>
      <c r="AG16" s="107">
        <v>3150</v>
      </c>
      <c r="AH16" s="424">
        <v>58.589199999999998</v>
      </c>
      <c r="AI16" s="107">
        <v>9.1776999999999997</v>
      </c>
      <c r="AJ16" s="107">
        <v>43.0122</v>
      </c>
      <c r="AK16" s="107">
        <v>74.1661</v>
      </c>
    </row>
    <row r="17" spans="1:37">
      <c r="A17" s="411" t="s">
        <v>5</v>
      </c>
      <c r="B17" s="107">
        <v>100</v>
      </c>
      <c r="C17" s="107">
        <v>97525</v>
      </c>
      <c r="D17" s="107">
        <v>1529</v>
      </c>
      <c r="E17" s="107">
        <v>100</v>
      </c>
      <c r="F17" s="107"/>
      <c r="G17" s="107"/>
      <c r="H17" s="107"/>
      <c r="K17" s="411" t="s">
        <v>5</v>
      </c>
      <c r="L17" s="107">
        <v>129</v>
      </c>
      <c r="M17" s="107">
        <v>127539</v>
      </c>
      <c r="N17" s="107">
        <v>2498</v>
      </c>
      <c r="O17" s="107">
        <v>100</v>
      </c>
      <c r="P17" s="107"/>
      <c r="Q17" s="107"/>
      <c r="R17" s="107"/>
      <c r="U17" s="411" t="s">
        <v>5</v>
      </c>
      <c r="V17" s="107">
        <v>18</v>
      </c>
      <c r="W17" s="107">
        <v>23671</v>
      </c>
      <c r="X17" s="107">
        <v>463.31243000000001</v>
      </c>
      <c r="Y17" s="107">
        <v>100</v>
      </c>
      <c r="Z17" s="107"/>
      <c r="AA17" s="107"/>
      <c r="AB17" s="107"/>
      <c r="AD17" s="411" t="s">
        <v>5</v>
      </c>
      <c r="AE17" s="107">
        <v>31</v>
      </c>
      <c r="AF17" s="107">
        <v>33129</v>
      </c>
      <c r="AG17" s="107">
        <v>1264</v>
      </c>
      <c r="AH17" s="107">
        <v>100</v>
      </c>
      <c r="AI17" s="107"/>
      <c r="AJ17" s="107"/>
      <c r="AK17" s="107"/>
    </row>
    <row r="18" spans="1:37" ht="15" thickBot="1">
      <c r="A18" s="106"/>
      <c r="B18" s="104"/>
      <c r="C18" s="104"/>
      <c r="D18" s="104"/>
      <c r="E18" s="104"/>
      <c r="F18" s="104"/>
      <c r="G18" s="104"/>
      <c r="H18" s="104"/>
      <c r="K18" s="106"/>
      <c r="L18" s="104"/>
      <c r="M18" s="104"/>
      <c r="N18" s="104"/>
      <c r="O18" s="104"/>
      <c r="P18" s="104"/>
      <c r="Q18" s="104"/>
      <c r="R18" s="104"/>
      <c r="U18" s="106"/>
      <c r="V18" s="104"/>
      <c r="W18" s="104"/>
      <c r="X18" s="104"/>
      <c r="Y18" s="104"/>
      <c r="Z18" s="104"/>
      <c r="AA18" s="104"/>
      <c r="AB18" s="104"/>
      <c r="AD18" s="106"/>
      <c r="AE18" s="104"/>
      <c r="AF18" s="104"/>
      <c r="AG18" s="104"/>
      <c r="AH18" s="104"/>
      <c r="AI18" s="104"/>
      <c r="AJ18" s="104"/>
      <c r="AK18" s="104"/>
    </row>
    <row r="19" spans="1:37" ht="15" customHeight="1">
      <c r="A19" s="416" t="s">
        <v>6</v>
      </c>
      <c r="B19" s="417"/>
      <c r="C19" s="104"/>
      <c r="D19" s="104"/>
      <c r="E19" s="104"/>
      <c r="F19" s="104"/>
      <c r="G19" s="104"/>
      <c r="H19" s="104"/>
    </row>
    <row r="20" spans="1:37">
      <c r="A20" s="411" t="s">
        <v>7</v>
      </c>
      <c r="B20" s="107">
        <v>14.9909</v>
      </c>
      <c r="C20" s="104"/>
      <c r="D20" s="104"/>
      <c r="E20" s="104"/>
      <c r="F20" s="104"/>
      <c r="G20" s="104"/>
      <c r="H20" s="104"/>
    </row>
    <row r="21" spans="1:37">
      <c r="A21" s="411" t="s">
        <v>8</v>
      </c>
      <c r="B21" s="107">
        <v>1.0177</v>
      </c>
      <c r="C21" s="104"/>
      <c r="D21" s="104"/>
      <c r="E21" s="104"/>
      <c r="F21" s="104"/>
      <c r="G21" s="104"/>
      <c r="H21" s="104"/>
    </row>
    <row r="22" spans="1:37" ht="15" customHeight="1">
      <c r="A22" s="411"/>
      <c r="B22" s="107"/>
      <c r="C22" s="104"/>
      <c r="D22" s="104"/>
      <c r="E22" s="104"/>
      <c r="F22" s="104"/>
      <c r="G22" s="104"/>
      <c r="H22" s="104"/>
    </row>
    <row r="23" spans="1:37" ht="15" customHeight="1" thickBot="1">
      <c r="A23" s="411" t="s">
        <v>9</v>
      </c>
      <c r="B23" s="107">
        <v>14.729900000000001</v>
      </c>
      <c r="C23" s="104"/>
      <c r="D23" s="104"/>
      <c r="E23" s="104"/>
      <c r="F23" s="104"/>
      <c r="G23" s="104"/>
      <c r="H23" s="104"/>
    </row>
    <row r="24" spans="1:37" ht="27.6">
      <c r="A24" s="411" t="s">
        <v>10</v>
      </c>
      <c r="B24" s="107">
        <v>2</v>
      </c>
      <c r="C24" s="104"/>
      <c r="D24" s="104"/>
      <c r="E24" s="104"/>
      <c r="F24" s="104"/>
      <c r="G24" s="104"/>
      <c r="H24" s="104"/>
      <c r="N24" s="1848" t="s">
        <v>244</v>
      </c>
      <c r="O24" s="1849" t="s">
        <v>2</v>
      </c>
      <c r="P24" s="1849" t="s">
        <v>3</v>
      </c>
      <c r="Q24" s="397" t="s">
        <v>245</v>
      </c>
      <c r="R24" s="397" t="s">
        <v>245</v>
      </c>
      <c r="U24" s="643" t="s">
        <v>506</v>
      </c>
      <c r="V24" s="643"/>
      <c r="W24" s="643"/>
    </row>
    <row r="25" spans="1:37" ht="27.6">
      <c r="A25" s="411" t="s">
        <v>11</v>
      </c>
      <c r="B25" s="107">
        <v>5.9999999999999995E-4</v>
      </c>
      <c r="C25" s="104"/>
      <c r="D25" s="104"/>
      <c r="E25" s="104"/>
      <c r="F25" s="104"/>
      <c r="G25" s="104"/>
      <c r="H25" s="104"/>
      <c r="N25" s="1845"/>
      <c r="O25" s="1847"/>
      <c r="P25" s="1847"/>
      <c r="Q25" s="399" t="s">
        <v>2</v>
      </c>
      <c r="R25" s="399" t="s">
        <v>3</v>
      </c>
      <c r="U25" s="77" t="s">
        <v>505</v>
      </c>
      <c r="V25"/>
      <c r="W25"/>
      <c r="X25"/>
      <c r="Y25"/>
      <c r="Z25"/>
      <c r="AA25"/>
      <c r="AB25"/>
    </row>
    <row r="26" spans="1:37" ht="15" thickBot="1">
      <c r="A26" s="411"/>
      <c r="B26" s="107"/>
      <c r="C26" s="104"/>
      <c r="D26" s="104"/>
      <c r="E26" s="104"/>
      <c r="F26" s="104"/>
      <c r="G26" s="104"/>
      <c r="H26" s="104"/>
      <c r="N26" s="398" t="s">
        <v>87</v>
      </c>
      <c r="O26" s="79">
        <v>373</v>
      </c>
      <c r="P26" s="79">
        <v>74.010000000000005</v>
      </c>
      <c r="Q26" s="79">
        <v>373</v>
      </c>
      <c r="R26" s="79">
        <v>74.010000000000005</v>
      </c>
      <c r="U26" s="843"/>
      <c r="V26"/>
      <c r="W26"/>
      <c r="X26"/>
      <c r="Y26"/>
      <c r="Z26"/>
      <c r="AA26"/>
      <c r="AB26"/>
    </row>
    <row r="27" spans="1:37" ht="15" customHeight="1">
      <c r="A27" s="411" t="s">
        <v>12</v>
      </c>
      <c r="B27" s="107">
        <v>7.3648999999999996</v>
      </c>
      <c r="C27" s="104"/>
      <c r="D27" s="104"/>
      <c r="E27" s="104"/>
      <c r="F27" s="104"/>
      <c r="G27" s="104"/>
      <c r="H27" s="104"/>
      <c r="N27" s="398" t="s">
        <v>246</v>
      </c>
      <c r="O27" s="79">
        <v>131</v>
      </c>
      <c r="P27" s="79">
        <v>25.99</v>
      </c>
      <c r="Q27" s="79">
        <v>504</v>
      </c>
      <c r="R27" s="79">
        <v>100</v>
      </c>
      <c r="U27" s="1848" t="s">
        <v>33</v>
      </c>
      <c r="V27" s="1849"/>
      <c r="W27"/>
      <c r="X27"/>
      <c r="Y27"/>
      <c r="Z27"/>
      <c r="AA27"/>
      <c r="AB27"/>
    </row>
    <row r="28" spans="1:37" ht="15" customHeight="1">
      <c r="A28" s="411" t="s">
        <v>13</v>
      </c>
      <c r="B28" s="107">
        <v>2</v>
      </c>
      <c r="C28" s="104"/>
      <c r="D28" s="104"/>
      <c r="E28" s="104"/>
      <c r="F28" s="104"/>
      <c r="G28" s="104"/>
      <c r="H28" s="104"/>
      <c r="N28" s="1845" t="s">
        <v>247</v>
      </c>
      <c r="O28" s="1847"/>
      <c r="P28" s="1847"/>
      <c r="Q28" s="1847"/>
      <c r="R28" s="1847"/>
      <c r="U28" s="919" t="s">
        <v>34</v>
      </c>
      <c r="V28" s="918">
        <v>22</v>
      </c>
      <c r="W28"/>
      <c r="X28"/>
      <c r="Y28"/>
      <c r="Z28"/>
      <c r="AA28"/>
      <c r="AB28"/>
    </row>
    <row r="29" spans="1:37" ht="27.6">
      <c r="A29" s="411" t="s">
        <v>14</v>
      </c>
      <c r="B29" s="107">
        <v>198</v>
      </c>
      <c r="C29" s="104"/>
      <c r="D29" s="104"/>
      <c r="E29" s="104"/>
      <c r="F29" s="104"/>
      <c r="G29" s="104"/>
      <c r="H29" s="104"/>
      <c r="U29" s="919" t="s">
        <v>35</v>
      </c>
      <c r="V29" s="918">
        <v>22872</v>
      </c>
      <c r="W29"/>
      <c r="X29"/>
      <c r="Y29"/>
      <c r="Z29"/>
      <c r="AA29"/>
      <c r="AB29"/>
    </row>
    <row r="30" spans="1:37" ht="15" thickBot="1">
      <c r="A30" s="411" t="s">
        <v>15</v>
      </c>
      <c r="B30" s="107">
        <v>8.0000000000000004E-4</v>
      </c>
      <c r="C30" s="104"/>
      <c r="D30" s="104"/>
      <c r="E30" s="104"/>
      <c r="F30" s="104"/>
      <c r="G30" s="104"/>
      <c r="H30" s="104"/>
      <c r="O30" s="11">
        <f>O26+O27</f>
        <v>504</v>
      </c>
      <c r="U30" s="843"/>
      <c r="V30"/>
      <c r="W30"/>
      <c r="X30"/>
      <c r="Y30"/>
      <c r="Z30"/>
      <c r="AA30"/>
      <c r="AB30"/>
    </row>
    <row r="31" spans="1:37" ht="15" customHeight="1">
      <c r="A31" s="411" t="s">
        <v>252</v>
      </c>
      <c r="B31" s="412"/>
      <c r="C31" s="104"/>
      <c r="D31" s="104"/>
      <c r="E31" s="104"/>
      <c r="F31" s="104"/>
      <c r="G31" s="104"/>
      <c r="H31" s="104"/>
      <c r="U31" s="1848" t="s">
        <v>614</v>
      </c>
      <c r="V31" s="1849"/>
      <c r="W31" s="1849"/>
      <c r="X31" s="1849"/>
      <c r="Y31" s="1849"/>
      <c r="Z31" s="1849"/>
      <c r="AA31" s="1849"/>
      <c r="AB31" s="1849"/>
    </row>
    <row r="32" spans="1:37" ht="30" customHeight="1">
      <c r="N32" s="11" t="s">
        <v>248</v>
      </c>
      <c r="O32" s="421">
        <f>O26/O30</f>
        <v>0.74007936507936511</v>
      </c>
      <c r="U32" s="1845" t="s">
        <v>504</v>
      </c>
      <c r="V32" s="1846" t="s">
        <v>2</v>
      </c>
      <c r="W32" s="917" t="s">
        <v>16</v>
      </c>
      <c r="X32" s="917" t="s">
        <v>82</v>
      </c>
      <c r="Y32" s="1846" t="s">
        <v>3</v>
      </c>
      <c r="Z32" s="917" t="s">
        <v>84</v>
      </c>
      <c r="AA32" s="1846" t="s">
        <v>85</v>
      </c>
      <c r="AB32" s="1846"/>
    </row>
    <row r="33" spans="1:28" ht="27.6">
      <c r="A33" s="108" t="s">
        <v>78</v>
      </c>
      <c r="B33" s="109"/>
      <c r="C33" s="109"/>
      <c r="D33" s="109"/>
      <c r="E33" s="109"/>
      <c r="F33" s="109"/>
      <c r="G33" s="109"/>
      <c r="H33" s="109"/>
      <c r="N33" s="11" t="s">
        <v>246</v>
      </c>
      <c r="O33" s="421">
        <f>O27/O30</f>
        <v>0.25992063492063494</v>
      </c>
      <c r="U33" s="1845"/>
      <c r="V33" s="1846"/>
      <c r="W33" s="917" t="s">
        <v>2</v>
      </c>
      <c r="X33" s="917" t="s">
        <v>83</v>
      </c>
      <c r="Y33" s="1846"/>
      <c r="Z33" s="917" t="s">
        <v>3</v>
      </c>
      <c r="AA33" s="1846" t="s">
        <v>86</v>
      </c>
      <c r="AB33" s="1846"/>
    </row>
    <row r="34" spans="1:28" ht="36.6">
      <c r="A34" s="113" t="s">
        <v>97</v>
      </c>
      <c r="B34" s="109"/>
      <c r="C34" s="109"/>
      <c r="D34" s="109"/>
      <c r="E34" s="109"/>
      <c r="F34" s="109"/>
      <c r="G34" s="109"/>
      <c r="H34" s="109"/>
      <c r="U34" s="919" t="s">
        <v>502</v>
      </c>
      <c r="V34" s="918">
        <v>2</v>
      </c>
      <c r="W34" s="918">
        <v>1845</v>
      </c>
      <c r="X34" s="918">
        <v>1281</v>
      </c>
      <c r="Y34" s="938">
        <v>8.0666000000000002E-2</v>
      </c>
      <c r="Z34" s="938">
        <v>5.6693E-2</v>
      </c>
      <c r="AA34" s="918">
        <v>0</v>
      </c>
      <c r="AB34" s="918">
        <v>17.821999999999999</v>
      </c>
    </row>
    <row r="35" spans="1:28">
      <c r="A35" s="110" t="s">
        <v>79</v>
      </c>
      <c r="B35" s="109"/>
      <c r="C35" s="109"/>
      <c r="D35" s="109"/>
      <c r="E35" s="109"/>
      <c r="F35" s="109"/>
      <c r="G35" s="109"/>
      <c r="H35" s="109"/>
      <c r="U35" s="919" t="s">
        <v>503</v>
      </c>
      <c r="V35" s="918">
        <v>20</v>
      </c>
      <c r="W35" s="918">
        <v>21027</v>
      </c>
      <c r="X35" s="918">
        <v>1791</v>
      </c>
      <c r="Y35" s="938">
        <v>0.91933399999999998</v>
      </c>
      <c r="Z35" s="938">
        <v>5.6693E-2</v>
      </c>
      <c r="AA35" s="918">
        <v>82.177999999999997</v>
      </c>
      <c r="AB35" s="918">
        <v>100</v>
      </c>
    </row>
    <row r="36" spans="1:28" ht="15" thickBot="1">
      <c r="A36" s="111"/>
      <c r="B36" s="109"/>
      <c r="C36" s="109"/>
      <c r="D36" s="109"/>
      <c r="E36" s="109"/>
      <c r="F36" s="109"/>
      <c r="G36" s="109"/>
      <c r="H36" s="109"/>
      <c r="U36" s="919" t="s">
        <v>5</v>
      </c>
      <c r="V36" s="918">
        <v>22</v>
      </c>
      <c r="W36" s="918">
        <v>22872</v>
      </c>
      <c r="X36" s="918">
        <v>1075</v>
      </c>
      <c r="Y36" s="918">
        <v>100</v>
      </c>
      <c r="Z36" s="918"/>
      <c r="AA36" s="918"/>
      <c r="AB36" s="918"/>
    </row>
    <row r="37" spans="1:28" ht="15" customHeight="1">
      <c r="A37" s="1900" t="s">
        <v>33</v>
      </c>
      <c r="B37" s="1901"/>
      <c r="C37" s="109"/>
      <c r="D37" s="109"/>
      <c r="E37" s="109"/>
      <c r="F37" s="109"/>
      <c r="G37" s="109"/>
      <c r="H37" s="109"/>
    </row>
    <row r="38" spans="1:28">
      <c r="A38" s="415" t="s">
        <v>34</v>
      </c>
      <c r="B38" s="112">
        <v>46</v>
      </c>
      <c r="C38" s="109"/>
      <c r="D38" s="109"/>
      <c r="E38" s="109"/>
      <c r="F38" s="109"/>
      <c r="G38" s="109"/>
      <c r="H38" s="109"/>
    </row>
    <row r="39" spans="1:28">
      <c r="A39" s="415" t="s">
        <v>35</v>
      </c>
      <c r="B39" s="112">
        <v>570942.49800000002</v>
      </c>
      <c r="C39" s="109"/>
      <c r="D39" s="109"/>
      <c r="E39" s="109"/>
      <c r="F39" s="109"/>
      <c r="G39" s="109"/>
      <c r="H39" s="109"/>
    </row>
    <row r="40" spans="1:28" ht="15" thickBot="1">
      <c r="A40" s="111"/>
      <c r="B40" s="109"/>
      <c r="C40" s="109"/>
      <c r="D40" s="109"/>
      <c r="E40" s="109"/>
      <c r="F40" s="109"/>
      <c r="G40" s="109"/>
      <c r="H40" s="109"/>
    </row>
    <row r="41" spans="1:28" ht="15" customHeight="1">
      <c r="A41" s="413" t="s">
        <v>94</v>
      </c>
      <c r="B41" s="414"/>
      <c r="C41" s="414"/>
      <c r="D41" s="414"/>
      <c r="E41" s="414"/>
      <c r="F41" s="414"/>
      <c r="G41" s="414"/>
      <c r="H41" s="414"/>
      <c r="K41" s="413" t="s">
        <v>94</v>
      </c>
      <c r="L41" s="414"/>
      <c r="M41" s="414"/>
      <c r="N41" s="414"/>
      <c r="O41" s="414"/>
      <c r="P41" s="414"/>
      <c r="Q41" s="414"/>
      <c r="R41" s="414"/>
      <c r="U41" s="413" t="s">
        <v>94</v>
      </c>
      <c r="V41" s="414"/>
      <c r="W41" s="414"/>
      <c r="X41" s="414"/>
      <c r="Y41" s="414"/>
      <c r="Z41" s="414"/>
      <c r="AA41" s="414"/>
      <c r="AB41" s="414"/>
    </row>
    <row r="42" spans="1:28" ht="45" customHeight="1">
      <c r="A42" s="415" t="s">
        <v>95</v>
      </c>
      <c r="B42" s="162" t="s">
        <v>2</v>
      </c>
      <c r="C42" s="162" t="s">
        <v>16</v>
      </c>
      <c r="D42" s="162" t="s">
        <v>82</v>
      </c>
      <c r="E42" s="162" t="s">
        <v>3</v>
      </c>
      <c r="F42" s="162" t="s">
        <v>84</v>
      </c>
      <c r="G42" s="162" t="s">
        <v>85</v>
      </c>
      <c r="H42" s="162"/>
      <c r="K42" s="415" t="s">
        <v>95</v>
      </c>
      <c r="L42" s="162" t="s">
        <v>2</v>
      </c>
      <c r="M42" s="162" t="s">
        <v>16</v>
      </c>
      <c r="N42" s="162" t="s">
        <v>82</v>
      </c>
      <c r="O42" s="162" t="s">
        <v>3</v>
      </c>
      <c r="P42" s="162" t="s">
        <v>84</v>
      </c>
      <c r="Q42" s="162" t="s">
        <v>85</v>
      </c>
      <c r="R42" s="162"/>
      <c r="U42" s="415" t="s">
        <v>95</v>
      </c>
      <c r="V42" s="162" t="s">
        <v>2</v>
      </c>
      <c r="W42" s="162" t="s">
        <v>16</v>
      </c>
      <c r="X42" s="162" t="s">
        <v>82</v>
      </c>
      <c r="Y42" s="162" t="s">
        <v>3</v>
      </c>
      <c r="Z42" s="162" t="s">
        <v>84</v>
      </c>
      <c r="AA42" s="162" t="s">
        <v>85</v>
      </c>
      <c r="AB42" s="162"/>
    </row>
    <row r="43" spans="1:28" ht="15" customHeight="1">
      <c r="A43" s="415"/>
      <c r="B43" s="162"/>
      <c r="C43" s="162" t="s">
        <v>2</v>
      </c>
      <c r="D43" s="162" t="s">
        <v>83</v>
      </c>
      <c r="E43" s="162"/>
      <c r="F43" s="162" t="s">
        <v>3</v>
      </c>
      <c r="G43" s="162" t="s">
        <v>86</v>
      </c>
      <c r="H43" s="162"/>
      <c r="K43" s="415"/>
      <c r="L43" s="162"/>
      <c r="M43" s="162" t="s">
        <v>2</v>
      </c>
      <c r="N43" s="162" t="s">
        <v>83</v>
      </c>
      <c r="O43" s="162"/>
      <c r="P43" s="162" t="s">
        <v>3</v>
      </c>
      <c r="Q43" s="162" t="s">
        <v>86</v>
      </c>
      <c r="R43" s="162"/>
      <c r="U43" s="415"/>
      <c r="V43" s="162"/>
      <c r="W43" s="162" t="s">
        <v>2</v>
      </c>
      <c r="X43" s="162" t="s">
        <v>83</v>
      </c>
      <c r="Y43" s="162"/>
      <c r="Z43" s="162" t="s">
        <v>3</v>
      </c>
      <c r="AA43" s="162" t="s">
        <v>86</v>
      </c>
      <c r="AB43" s="162"/>
    </row>
    <row r="44" spans="1:28">
      <c r="A44" s="415">
        <v>1</v>
      </c>
      <c r="B44" s="112">
        <v>5</v>
      </c>
      <c r="C44" s="112">
        <v>65360</v>
      </c>
      <c r="D44" s="112">
        <v>25529</v>
      </c>
      <c r="E44" s="425">
        <v>36.532899999999998</v>
      </c>
      <c r="F44" s="112">
        <v>13.456200000000001</v>
      </c>
      <c r="G44" s="112">
        <v>12.8323</v>
      </c>
      <c r="H44" s="112">
        <v>60.233499999999999</v>
      </c>
      <c r="K44" s="415">
        <v>1</v>
      </c>
      <c r="L44" s="112">
        <v>10</v>
      </c>
      <c r="M44" s="112">
        <v>10787</v>
      </c>
      <c r="N44" s="112">
        <v>2613</v>
      </c>
      <c r="O44" s="425">
        <v>53.704099999999997</v>
      </c>
      <c r="P44" s="112">
        <v>11.680300000000001</v>
      </c>
      <c r="Q44" s="112">
        <v>33.507199999999997</v>
      </c>
      <c r="R44" s="112">
        <v>73.900899999999993</v>
      </c>
      <c r="U44" s="415">
        <v>1</v>
      </c>
      <c r="V44" s="112">
        <v>5</v>
      </c>
      <c r="W44" s="112">
        <v>6664</v>
      </c>
      <c r="X44" s="112">
        <v>2315</v>
      </c>
      <c r="Y44" s="425">
        <v>46.371200000000002</v>
      </c>
      <c r="Z44" s="112">
        <v>15.8253</v>
      </c>
      <c r="AA44" s="112">
        <v>17.688500000000001</v>
      </c>
      <c r="AB44" s="112">
        <v>75.053799999999995</v>
      </c>
    </row>
    <row r="45" spans="1:28">
      <c r="A45" s="415">
        <v>2</v>
      </c>
      <c r="B45" s="112">
        <v>4</v>
      </c>
      <c r="C45" s="112">
        <v>44336</v>
      </c>
      <c r="D45" s="112">
        <v>20299</v>
      </c>
      <c r="E45" s="425">
        <v>24.7818</v>
      </c>
      <c r="F45" s="112">
        <v>11.5464</v>
      </c>
      <c r="G45" s="112">
        <v>4.4448999999999996</v>
      </c>
      <c r="H45" s="112">
        <v>45.118600000000001</v>
      </c>
      <c r="K45" s="415">
        <v>2</v>
      </c>
      <c r="L45" s="112">
        <v>4</v>
      </c>
      <c r="M45" s="112">
        <v>3772</v>
      </c>
      <c r="N45" s="112">
        <v>1780</v>
      </c>
      <c r="O45" s="425">
        <v>18.779199999999999</v>
      </c>
      <c r="P45" s="112">
        <v>8.9563000000000006</v>
      </c>
      <c r="Q45" s="112">
        <v>3.2927</v>
      </c>
      <c r="R45" s="112">
        <v>34.265799999999999</v>
      </c>
      <c r="U45" s="415">
        <v>2</v>
      </c>
      <c r="V45" s="112">
        <v>3</v>
      </c>
      <c r="W45" s="112">
        <v>3699</v>
      </c>
      <c r="X45" s="112">
        <v>1912</v>
      </c>
      <c r="Y45" s="425">
        <v>25.7393</v>
      </c>
      <c r="Z45" s="112">
        <v>13.586</v>
      </c>
      <c r="AA45" s="112">
        <v>1.1152</v>
      </c>
      <c r="AB45" s="112">
        <v>50.363500000000002</v>
      </c>
    </row>
    <row r="46" spans="1:28">
      <c r="A46" s="415">
        <v>3</v>
      </c>
      <c r="B46" s="112">
        <v>6</v>
      </c>
      <c r="C46" s="112">
        <v>69210</v>
      </c>
      <c r="D46" s="112">
        <v>23661</v>
      </c>
      <c r="E46" s="425">
        <v>38.685299999999998</v>
      </c>
      <c r="F46" s="112">
        <v>13.286</v>
      </c>
      <c r="G46" s="112">
        <v>15.2845</v>
      </c>
      <c r="H46" s="112">
        <v>62.086100000000002</v>
      </c>
      <c r="K46" s="415">
        <v>3</v>
      </c>
      <c r="L46" s="112">
        <v>6</v>
      </c>
      <c r="M46" s="112">
        <v>5527</v>
      </c>
      <c r="N46" s="112">
        <v>1984</v>
      </c>
      <c r="O46" s="425">
        <v>27.5167</v>
      </c>
      <c r="P46" s="112">
        <v>10.1906</v>
      </c>
      <c r="Q46" s="112">
        <v>9.8957999999999995</v>
      </c>
      <c r="R46" s="112">
        <v>45.137599999999999</v>
      </c>
      <c r="U46" s="415">
        <v>3</v>
      </c>
      <c r="V46" s="112">
        <v>3</v>
      </c>
      <c r="W46" s="112">
        <v>4008</v>
      </c>
      <c r="X46" s="112">
        <v>2078</v>
      </c>
      <c r="Y46" s="425">
        <v>27.889500000000002</v>
      </c>
      <c r="Z46" s="112">
        <v>14.317600000000001</v>
      </c>
      <c r="AA46" s="112">
        <v>1.9394</v>
      </c>
      <c r="AB46" s="112">
        <v>53.839599999999997</v>
      </c>
    </row>
    <row r="47" spans="1:28">
      <c r="A47" s="415" t="s">
        <v>5</v>
      </c>
      <c r="B47" s="112">
        <v>15</v>
      </c>
      <c r="C47" s="112">
        <v>178906</v>
      </c>
      <c r="D47" s="112">
        <v>11185</v>
      </c>
      <c r="E47" s="112">
        <v>100</v>
      </c>
      <c r="F47" s="112"/>
      <c r="G47" s="112"/>
      <c r="H47" s="112"/>
      <c r="K47" s="415" t="s">
        <v>5</v>
      </c>
      <c r="L47" s="112">
        <v>20</v>
      </c>
      <c r="M47" s="112">
        <v>20086</v>
      </c>
      <c r="N47" s="112">
        <v>1085</v>
      </c>
      <c r="O47" s="112">
        <v>100</v>
      </c>
      <c r="P47" s="112"/>
      <c r="Q47" s="112"/>
      <c r="R47" s="112"/>
      <c r="U47" s="415" t="s">
        <v>5</v>
      </c>
      <c r="V47" s="112">
        <v>11</v>
      </c>
      <c r="W47" s="112">
        <v>14371</v>
      </c>
      <c r="X47" s="112">
        <v>306.45096999999998</v>
      </c>
      <c r="Y47" s="112">
        <v>100</v>
      </c>
      <c r="Z47" s="112"/>
      <c r="AA47" s="112"/>
      <c r="AB47" s="112"/>
    </row>
    <row r="48" spans="1:28" ht="15" thickBot="1">
      <c r="A48" s="111"/>
      <c r="B48" s="109"/>
      <c r="C48" s="109"/>
      <c r="D48" s="109"/>
      <c r="E48" s="109"/>
      <c r="F48" s="109"/>
      <c r="G48" s="109"/>
      <c r="H48" s="109"/>
    </row>
    <row r="49" spans="1:8" ht="15" customHeight="1">
      <c r="A49" s="1900" t="s">
        <v>6</v>
      </c>
      <c r="B49" s="1901"/>
      <c r="C49" s="109"/>
      <c r="D49" s="109"/>
      <c r="E49" s="109"/>
      <c r="F49" s="109"/>
      <c r="G49" s="109"/>
      <c r="H49" s="109"/>
    </row>
    <row r="50" spans="1:8" ht="15" customHeight="1">
      <c r="A50" s="415" t="s">
        <v>7</v>
      </c>
      <c r="B50" s="112">
        <v>3.8557999999999999</v>
      </c>
      <c r="C50" s="109"/>
      <c r="D50" s="109"/>
      <c r="E50" s="109"/>
      <c r="F50" s="109"/>
      <c r="G50" s="109"/>
      <c r="H50" s="109"/>
    </row>
    <row r="51" spans="1:8">
      <c r="A51" s="415" t="s">
        <v>8</v>
      </c>
      <c r="B51" s="112">
        <v>1.05</v>
      </c>
      <c r="C51" s="109"/>
      <c r="D51" s="109"/>
      <c r="E51" s="109"/>
      <c r="F51" s="109"/>
      <c r="G51" s="109"/>
      <c r="H51" s="109"/>
    </row>
    <row r="52" spans="1:8">
      <c r="A52" s="415"/>
      <c r="B52" s="112"/>
      <c r="C52" s="109"/>
      <c r="D52" s="109"/>
      <c r="E52" s="109"/>
      <c r="F52" s="109"/>
      <c r="G52" s="109"/>
      <c r="H52" s="109"/>
    </row>
    <row r="53" spans="1:8">
      <c r="A53" s="415" t="s">
        <v>9</v>
      </c>
      <c r="B53" s="112">
        <v>3.6720999999999999</v>
      </c>
      <c r="C53" s="109"/>
      <c r="D53" s="109"/>
      <c r="E53" s="109"/>
      <c r="F53" s="109"/>
      <c r="G53" s="109"/>
      <c r="H53" s="109"/>
    </row>
    <row r="54" spans="1:8">
      <c r="A54" s="415" t="s">
        <v>10</v>
      </c>
      <c r="B54" s="112">
        <v>2</v>
      </c>
      <c r="C54" s="109"/>
      <c r="D54" s="109"/>
      <c r="E54" s="109"/>
      <c r="F54" s="109"/>
      <c r="G54" s="109"/>
      <c r="H54" s="109"/>
    </row>
    <row r="55" spans="1:8">
      <c r="A55" s="415" t="s">
        <v>11</v>
      </c>
      <c r="B55" s="112">
        <v>0.15939999999999999</v>
      </c>
      <c r="C55" s="109"/>
      <c r="D55" s="109"/>
      <c r="E55" s="109"/>
      <c r="F55" s="109"/>
      <c r="G55" s="109"/>
      <c r="H55" s="109"/>
    </row>
    <row r="56" spans="1:8">
      <c r="A56" s="415"/>
      <c r="B56" s="112"/>
      <c r="C56" s="109"/>
      <c r="D56" s="109"/>
      <c r="E56" s="109"/>
      <c r="F56" s="109"/>
      <c r="G56" s="109"/>
      <c r="H56" s="109"/>
    </row>
    <row r="57" spans="1:8">
      <c r="A57" s="415" t="s">
        <v>12</v>
      </c>
      <c r="B57" s="112">
        <v>1.8361000000000001</v>
      </c>
      <c r="C57" s="109"/>
      <c r="D57" s="109"/>
      <c r="E57" s="109"/>
      <c r="F57" s="109"/>
      <c r="G57" s="109"/>
      <c r="H57" s="109"/>
    </row>
    <row r="58" spans="1:8">
      <c r="A58" s="415" t="s">
        <v>13</v>
      </c>
      <c r="B58" s="112">
        <v>2</v>
      </c>
      <c r="C58" s="109"/>
      <c r="D58" s="109"/>
      <c r="E58" s="109"/>
      <c r="F58" s="109"/>
      <c r="G58" s="109"/>
      <c r="H58" s="109"/>
    </row>
    <row r="59" spans="1:8">
      <c r="A59" s="415" t="s">
        <v>14</v>
      </c>
      <c r="B59" s="112">
        <v>90</v>
      </c>
      <c r="C59" s="109"/>
      <c r="D59" s="109"/>
      <c r="E59" s="109"/>
      <c r="F59" s="109"/>
      <c r="G59" s="109"/>
      <c r="H59" s="109"/>
    </row>
    <row r="60" spans="1:8">
      <c r="A60" s="415" t="s">
        <v>15</v>
      </c>
      <c r="B60" s="112">
        <v>0.16539999999999999</v>
      </c>
      <c r="C60" s="109"/>
      <c r="D60" s="109"/>
      <c r="E60" s="109"/>
      <c r="F60" s="109"/>
      <c r="G60" s="109"/>
      <c r="H60" s="109"/>
    </row>
    <row r="61" spans="1:8" ht="15" customHeight="1">
      <c r="A61" s="1902" t="s">
        <v>96</v>
      </c>
      <c r="B61" s="1903"/>
      <c r="C61" s="109"/>
      <c r="D61" s="109"/>
      <c r="E61" s="109"/>
      <c r="F61" s="109"/>
      <c r="G61" s="109"/>
      <c r="H61" s="109"/>
    </row>
    <row r="74" spans="1:37" ht="15" thickBot="1"/>
    <row r="75" spans="1:37" ht="15" customHeight="1">
      <c r="AD75" s="1848" t="s">
        <v>33</v>
      </c>
      <c r="AE75" s="1849"/>
      <c r="AF75"/>
      <c r="AG75"/>
      <c r="AH75"/>
      <c r="AI75"/>
      <c r="AJ75"/>
      <c r="AK75"/>
    </row>
    <row r="76" spans="1:37" ht="55.2">
      <c r="A76" s="41"/>
      <c r="B76" s="41"/>
      <c r="C76" s="41"/>
      <c r="D76" s="41"/>
      <c r="E76" s="41"/>
      <c r="F76" s="41"/>
      <c r="G76" s="41"/>
      <c r="H76" s="41"/>
      <c r="AD76" s="919" t="s">
        <v>34</v>
      </c>
      <c r="AE76" s="918">
        <v>125</v>
      </c>
      <c r="AF76"/>
      <c r="AG76"/>
      <c r="AH76"/>
      <c r="AI76"/>
      <c r="AJ76"/>
      <c r="AK76"/>
    </row>
    <row r="77" spans="1:37" ht="27.6">
      <c r="AD77" s="919" t="s">
        <v>35</v>
      </c>
      <c r="AE77" s="918">
        <v>127608</v>
      </c>
      <c r="AF77"/>
      <c r="AG77"/>
      <c r="AH77"/>
      <c r="AI77"/>
      <c r="AJ77"/>
      <c r="AK77"/>
    </row>
    <row r="78" spans="1:37" ht="15.75" customHeight="1" thickBot="1">
      <c r="A78" s="116" t="s">
        <v>170</v>
      </c>
      <c r="K78" s="116" t="s">
        <v>171</v>
      </c>
      <c r="U78" s="116" t="s">
        <v>173</v>
      </c>
      <c r="AD78" s="843"/>
      <c r="AE78"/>
      <c r="AF78"/>
      <c r="AG78"/>
      <c r="AH78"/>
      <c r="AI78"/>
      <c r="AJ78"/>
      <c r="AK78"/>
    </row>
    <row r="79" spans="1:37" ht="15" customHeight="1">
      <c r="A79" s="1848" t="s">
        <v>167</v>
      </c>
      <c r="B79" s="1849"/>
      <c r="C79" s="1849"/>
      <c r="D79" s="1849"/>
      <c r="E79" s="1849"/>
      <c r="F79" s="1849"/>
      <c r="G79" s="1849"/>
      <c r="H79" s="1849"/>
      <c r="K79" s="1848" t="s">
        <v>167</v>
      </c>
      <c r="L79" s="1849"/>
      <c r="M79" s="1849"/>
      <c r="N79" s="1849"/>
      <c r="O79" s="1849"/>
      <c r="P79" s="1849"/>
      <c r="Q79" s="1849"/>
      <c r="R79" s="1849"/>
      <c r="U79" s="1848" t="s">
        <v>167</v>
      </c>
      <c r="V79" s="1849"/>
      <c r="W79" s="1849"/>
      <c r="X79" s="1849"/>
      <c r="Y79" s="1849"/>
      <c r="Z79" s="1849"/>
      <c r="AA79" s="1849"/>
      <c r="AB79" s="1849"/>
      <c r="AD79" s="1848" t="s">
        <v>167</v>
      </c>
      <c r="AE79" s="1849"/>
      <c r="AF79" s="1849"/>
      <c r="AG79" s="1849"/>
      <c r="AH79" s="1849"/>
      <c r="AI79" s="1849"/>
      <c r="AJ79" s="1849"/>
      <c r="AK79" s="1849"/>
    </row>
    <row r="80" spans="1:37" ht="45" customHeight="1">
      <c r="A80" s="1845" t="s">
        <v>168</v>
      </c>
      <c r="B80" s="1846" t="s">
        <v>2</v>
      </c>
      <c r="C80" s="410" t="s">
        <v>16</v>
      </c>
      <c r="D80" s="410" t="s">
        <v>82</v>
      </c>
      <c r="E80" s="1846" t="s">
        <v>3</v>
      </c>
      <c r="F80" s="410" t="s">
        <v>84</v>
      </c>
      <c r="G80" s="1846" t="s">
        <v>85</v>
      </c>
      <c r="H80" s="1846"/>
      <c r="K80" s="1845" t="s">
        <v>168</v>
      </c>
      <c r="L80" s="1846" t="s">
        <v>2</v>
      </c>
      <c r="M80" s="410" t="s">
        <v>16</v>
      </c>
      <c r="N80" s="410" t="s">
        <v>82</v>
      </c>
      <c r="O80" s="1846" t="s">
        <v>3</v>
      </c>
      <c r="P80" s="410" t="s">
        <v>84</v>
      </c>
      <c r="Q80" s="1846" t="s">
        <v>85</v>
      </c>
      <c r="R80" s="1846"/>
      <c r="U80" s="1845" t="s">
        <v>168</v>
      </c>
      <c r="V80" s="1846" t="s">
        <v>2</v>
      </c>
      <c r="W80" s="410" t="s">
        <v>16</v>
      </c>
      <c r="X80" s="410" t="s">
        <v>82</v>
      </c>
      <c r="Y80" s="1846" t="s">
        <v>3</v>
      </c>
      <c r="Z80" s="410" t="s">
        <v>84</v>
      </c>
      <c r="AA80" s="1846" t="s">
        <v>85</v>
      </c>
      <c r="AB80" s="1846"/>
      <c r="AD80" s="1845" t="s">
        <v>168</v>
      </c>
      <c r="AE80" s="1899" t="s">
        <v>2</v>
      </c>
      <c r="AF80" s="917" t="s">
        <v>16</v>
      </c>
      <c r="AG80" s="917" t="s">
        <v>82</v>
      </c>
      <c r="AH80" s="1899" t="s">
        <v>3</v>
      </c>
      <c r="AI80" s="993" t="s">
        <v>84</v>
      </c>
      <c r="AJ80" s="1846" t="s">
        <v>85</v>
      </c>
      <c r="AK80" s="1846"/>
    </row>
    <row r="81" spans="1:37" ht="30" customHeight="1">
      <c r="A81" s="1845"/>
      <c r="B81" s="1846"/>
      <c r="C81" s="410" t="s">
        <v>2</v>
      </c>
      <c r="D81" s="410" t="s">
        <v>83</v>
      </c>
      <c r="E81" s="1846"/>
      <c r="F81" s="410" t="s">
        <v>3</v>
      </c>
      <c r="G81" s="1846" t="s">
        <v>86</v>
      </c>
      <c r="H81" s="1846"/>
      <c r="K81" s="1845"/>
      <c r="L81" s="1846"/>
      <c r="M81" s="410" t="s">
        <v>2</v>
      </c>
      <c r="N81" s="410" t="s">
        <v>83</v>
      </c>
      <c r="O81" s="1846"/>
      <c r="P81" s="410" t="s">
        <v>3</v>
      </c>
      <c r="Q81" s="1846" t="s">
        <v>86</v>
      </c>
      <c r="R81" s="1846"/>
      <c r="U81" s="1845"/>
      <c r="V81" s="1846"/>
      <c r="W81" s="410" t="s">
        <v>2</v>
      </c>
      <c r="X81" s="410" t="s">
        <v>83</v>
      </c>
      <c r="Y81" s="1846"/>
      <c r="Z81" s="410" t="s">
        <v>3</v>
      </c>
      <c r="AA81" s="1846" t="s">
        <v>86</v>
      </c>
      <c r="AB81" s="1846"/>
      <c r="AD81" s="1845"/>
      <c r="AE81" s="1899"/>
      <c r="AF81" s="917" t="s">
        <v>2</v>
      </c>
      <c r="AG81" s="917" t="s">
        <v>83</v>
      </c>
      <c r="AH81" s="1899"/>
      <c r="AI81" s="993" t="s">
        <v>3</v>
      </c>
      <c r="AJ81" s="1846" t="s">
        <v>86</v>
      </c>
      <c r="AK81" s="1846"/>
    </row>
    <row r="82" spans="1:37">
      <c r="A82" s="409">
        <v>1</v>
      </c>
      <c r="B82" s="79">
        <v>44</v>
      </c>
      <c r="C82" s="79">
        <v>42552</v>
      </c>
      <c r="D82" s="79">
        <v>1892</v>
      </c>
      <c r="E82" s="79">
        <v>94.352400000000003</v>
      </c>
      <c r="F82" s="79">
        <v>3.2296999999999998</v>
      </c>
      <c r="G82" s="79">
        <v>88.930800000000005</v>
      </c>
      <c r="H82" s="79">
        <v>99.774000000000001</v>
      </c>
      <c r="K82" s="409">
        <v>1</v>
      </c>
      <c r="L82" s="79">
        <v>65</v>
      </c>
      <c r="M82" s="79">
        <v>66887</v>
      </c>
      <c r="N82" s="79">
        <v>3251</v>
      </c>
      <c r="O82" s="79">
        <v>90.2988</v>
      </c>
      <c r="P82" s="79">
        <v>3.5979000000000001</v>
      </c>
      <c r="Q82" s="79">
        <v>84.302400000000006</v>
      </c>
      <c r="R82" s="79">
        <v>96.295100000000005</v>
      </c>
      <c r="U82" s="409">
        <v>1</v>
      </c>
      <c r="V82" s="79">
        <v>5</v>
      </c>
      <c r="W82" s="79">
        <v>7139</v>
      </c>
      <c r="X82" s="79">
        <v>1447</v>
      </c>
      <c r="Y82" s="79">
        <v>84.625399999999999</v>
      </c>
      <c r="Z82" s="79">
        <v>15.6189</v>
      </c>
      <c r="AA82" s="79">
        <v>53.1526</v>
      </c>
      <c r="AB82" s="79">
        <v>100</v>
      </c>
      <c r="AD82" s="919">
        <v>1</v>
      </c>
      <c r="AE82" s="898">
        <v>114</v>
      </c>
      <c r="AF82" s="918">
        <v>116578</v>
      </c>
      <c r="AG82" s="918">
        <v>4029</v>
      </c>
      <c r="AH82" s="994">
        <v>0.91356300000000001</v>
      </c>
      <c r="AI82" s="994">
        <v>2.5649999999999999E-2</v>
      </c>
      <c r="AJ82" s="918">
        <v>87.105500000000006</v>
      </c>
      <c r="AK82" s="918">
        <v>95.607100000000003</v>
      </c>
    </row>
    <row r="83" spans="1:37">
      <c r="A83" s="409">
        <v>2</v>
      </c>
      <c r="B83" s="79">
        <v>3</v>
      </c>
      <c r="C83" s="79">
        <v>2547</v>
      </c>
      <c r="D83" s="79">
        <v>1445</v>
      </c>
      <c r="E83" s="79">
        <v>5.6475999999999997</v>
      </c>
      <c r="F83" s="79">
        <v>3.2296999999999998</v>
      </c>
      <c r="G83" s="79">
        <v>0.22600000000000001</v>
      </c>
      <c r="H83" s="79">
        <v>11.0692</v>
      </c>
      <c r="K83" s="409">
        <v>2</v>
      </c>
      <c r="L83" s="79">
        <v>7</v>
      </c>
      <c r="M83" s="79">
        <v>7186</v>
      </c>
      <c r="N83" s="79">
        <v>2671</v>
      </c>
      <c r="O83" s="79">
        <v>9.7012</v>
      </c>
      <c r="P83" s="79">
        <v>3.5979000000000001</v>
      </c>
      <c r="Q83" s="79">
        <v>3.7048999999999999</v>
      </c>
      <c r="R83" s="79">
        <v>15.6976</v>
      </c>
      <c r="U83" s="409">
        <v>2</v>
      </c>
      <c r="V83" s="79">
        <v>1</v>
      </c>
      <c r="W83" s="79">
        <v>1297</v>
      </c>
      <c r="X83" s="79">
        <v>1297</v>
      </c>
      <c r="Y83" s="79">
        <v>15.374599999999999</v>
      </c>
      <c r="Z83" s="79">
        <v>15.6189</v>
      </c>
      <c r="AA83" s="79">
        <v>0</v>
      </c>
      <c r="AB83" s="79">
        <v>46.8474</v>
      </c>
      <c r="AD83" s="919">
        <v>2</v>
      </c>
      <c r="AE83" s="898">
        <v>11</v>
      </c>
      <c r="AF83" s="918">
        <v>11030</v>
      </c>
      <c r="AG83" s="918">
        <v>3276</v>
      </c>
      <c r="AH83" s="994">
        <v>8.6437E-2</v>
      </c>
      <c r="AI83" s="994">
        <v>2.5649999999999999E-2</v>
      </c>
      <c r="AJ83" s="918">
        <v>4.3929</v>
      </c>
      <c r="AK83" s="918">
        <v>12.894500000000001</v>
      </c>
    </row>
    <row r="84" spans="1:37">
      <c r="A84" s="409" t="s">
        <v>5</v>
      </c>
      <c r="B84" s="79">
        <v>47</v>
      </c>
      <c r="C84" s="79">
        <v>45099</v>
      </c>
      <c r="D84" s="79">
        <v>977.25292000000002</v>
      </c>
      <c r="E84" s="79">
        <v>100</v>
      </c>
      <c r="F84" s="79"/>
      <c r="G84" s="79"/>
      <c r="H84" s="79"/>
      <c r="K84" s="409" t="s">
        <v>5</v>
      </c>
      <c r="L84" s="79">
        <v>72</v>
      </c>
      <c r="M84" s="79">
        <v>74073</v>
      </c>
      <c r="N84" s="79">
        <v>2041</v>
      </c>
      <c r="O84" s="79">
        <v>100</v>
      </c>
      <c r="P84" s="79"/>
      <c r="Q84" s="79"/>
      <c r="R84" s="79"/>
      <c r="U84" s="409" t="s">
        <v>5</v>
      </c>
      <c r="V84" s="79">
        <v>6</v>
      </c>
      <c r="W84" s="79">
        <v>8436</v>
      </c>
      <c r="X84" s="79">
        <v>269.93777</v>
      </c>
      <c r="Y84" s="79">
        <v>100</v>
      </c>
      <c r="Z84" s="79"/>
      <c r="AA84" s="79"/>
      <c r="AB84" s="79"/>
      <c r="AD84" s="919" t="s">
        <v>5</v>
      </c>
      <c r="AE84" s="898">
        <v>125</v>
      </c>
      <c r="AF84" s="918">
        <v>127608</v>
      </c>
      <c r="AG84" s="918">
        <v>2495</v>
      </c>
      <c r="AH84" s="995">
        <v>1</v>
      </c>
      <c r="AI84" s="898"/>
      <c r="AJ84" s="918"/>
      <c r="AK84" s="918"/>
    </row>
  </sheetData>
  <customSheetViews>
    <customSheetView guid="{7E8F70E7-08A0-442B-A100-F92E13F1F337}" scale="115" topLeftCell="A28">
      <selection activeCell="E17" sqref="E17"/>
      <pageMargins left="0.7" right="0.7" top="0.75" bottom="0.75" header="0.3" footer="0.3"/>
    </customSheetView>
    <customSheetView guid="{223C1DCA-941C-47FC-83AC-426B3DB3086A}" topLeftCell="F61">
      <selection activeCell="Z47" sqref="Z47"/>
      <pageMargins left="0.7" right="0.7" top="0.75" bottom="0.75" header="0.3" footer="0.3"/>
    </customSheetView>
    <customSheetView guid="{BA0BA4AB-C6A1-41FF-8782-C05227E92BEB}" scale="115" topLeftCell="A28">
      <selection activeCell="E17" sqref="E17"/>
      <pageMargins left="0.7" right="0.7" top="0.75" bottom="0.75" header="0.3" footer="0.3"/>
    </customSheetView>
    <customSheetView guid="{52F27401-6741-4136-9223-9843499AE81D}" topLeftCell="A10">
      <selection activeCell="T34" sqref="T34"/>
      <pageMargins left="0.7" right="0.7" top="0.75" bottom="0.75" header="0.3" footer="0.3"/>
    </customSheetView>
  </customSheetViews>
  <mergeCells count="54">
    <mergeCell ref="N24:N25"/>
    <mergeCell ref="O24:O25"/>
    <mergeCell ref="P24:P25"/>
    <mergeCell ref="N28:R28"/>
    <mergeCell ref="U79:AB79"/>
    <mergeCell ref="K79:R79"/>
    <mergeCell ref="U27:V27"/>
    <mergeCell ref="U32:U33"/>
    <mergeCell ref="V32:V33"/>
    <mergeCell ref="Y32:Y33"/>
    <mergeCell ref="U31:AB31"/>
    <mergeCell ref="AA32:AB32"/>
    <mergeCell ref="AA33:AB33"/>
    <mergeCell ref="U80:U81"/>
    <mergeCell ref="V80:V81"/>
    <mergeCell ref="Y80:Y81"/>
    <mergeCell ref="AA80:AB80"/>
    <mergeCell ref="AA81:AB81"/>
    <mergeCell ref="K80:K81"/>
    <mergeCell ref="L80:L81"/>
    <mergeCell ref="O80:O81"/>
    <mergeCell ref="Q80:R80"/>
    <mergeCell ref="Q81:R81"/>
    <mergeCell ref="A49:B49"/>
    <mergeCell ref="A61:B61"/>
    <mergeCell ref="A37:B37"/>
    <mergeCell ref="A79:H79"/>
    <mergeCell ref="A80:A81"/>
    <mergeCell ref="B80:B81"/>
    <mergeCell ref="E80:E81"/>
    <mergeCell ref="G80:H80"/>
    <mergeCell ref="G81:H81"/>
    <mergeCell ref="AO15:AV15"/>
    <mergeCell ref="AX4:AY4"/>
    <mergeCell ref="AX8:BE8"/>
    <mergeCell ref="AX9:AX10"/>
    <mergeCell ref="AY9:AY10"/>
    <mergeCell ref="BB9:BB10"/>
    <mergeCell ref="BD9:BE9"/>
    <mergeCell ref="BD10:BE10"/>
    <mergeCell ref="AO4:AP4"/>
    <mergeCell ref="AO8:AV8"/>
    <mergeCell ref="AO9:AO10"/>
    <mergeCell ref="AP9:AP10"/>
    <mergeCell ref="AS9:AS10"/>
    <mergeCell ref="AU9:AV9"/>
    <mergeCell ref="AU10:AV10"/>
    <mergeCell ref="AJ80:AK80"/>
    <mergeCell ref="AD75:AE75"/>
    <mergeCell ref="AD79:AK79"/>
    <mergeCell ref="AD80:AD81"/>
    <mergeCell ref="AE80:AE81"/>
    <mergeCell ref="AH80:AH81"/>
    <mergeCell ref="AJ81:AK8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C21" sqref="C21"/>
    </sheetView>
  </sheetViews>
  <sheetFormatPr defaultColWidth="9.109375" defaultRowHeight="15.6"/>
  <cols>
    <col min="1" max="1" width="24.88671875" style="664" customWidth="1"/>
    <col min="2" max="2" width="11.33203125" style="664" bestFit="1" customWidth="1"/>
    <col min="3" max="16384" width="9.109375" style="664"/>
  </cols>
  <sheetData>
    <row r="1" spans="1:9" ht="57" customHeight="1" thickBot="1">
      <c r="A1" s="1904" t="s">
        <v>448</v>
      </c>
      <c r="B1" s="1904"/>
      <c r="C1" s="1904"/>
      <c r="D1" s="1904"/>
      <c r="E1" s="1904"/>
      <c r="F1" s="1904"/>
      <c r="G1" s="1904"/>
      <c r="H1" s="1904"/>
      <c r="I1" s="1904"/>
    </row>
    <row r="2" spans="1:9" ht="16.2" thickBot="1">
      <c r="A2" s="679" t="s">
        <v>447</v>
      </c>
      <c r="B2" s="678"/>
      <c r="C2" s="678"/>
      <c r="D2" s="678"/>
      <c r="E2" s="678"/>
    </row>
    <row r="3" spans="1:9" ht="16.2" thickBot="1">
      <c r="A3" s="677" t="s">
        <v>446</v>
      </c>
      <c r="B3" s="676">
        <v>13682976</v>
      </c>
      <c r="C3" s="672" t="s">
        <v>445</v>
      </c>
      <c r="D3" s="676">
        <v>13682976</v>
      </c>
      <c r="E3" s="672" t="s">
        <v>444</v>
      </c>
    </row>
    <row r="4" spans="1:9" ht="16.2" thickBot="1">
      <c r="A4" s="677" t="s">
        <v>443</v>
      </c>
      <c r="B4" s="676">
        <v>7913569</v>
      </c>
      <c r="C4" s="672" t="s">
        <v>442</v>
      </c>
      <c r="D4" s="673">
        <v>0.57799999999999996</v>
      </c>
      <c r="E4" s="672" t="s">
        <v>441</v>
      </c>
    </row>
    <row r="5" spans="1:9" ht="16.2" thickBot="1">
      <c r="A5" s="677" t="s">
        <v>440</v>
      </c>
      <c r="B5" s="676">
        <v>978861</v>
      </c>
      <c r="C5" s="672" t="s">
        <v>439</v>
      </c>
      <c r="D5" s="673">
        <v>7.1999999999999995E-2</v>
      </c>
      <c r="E5" s="672" t="s">
        <v>424</v>
      </c>
    </row>
    <row r="6" spans="1:9" ht="16.2" thickBot="1">
      <c r="A6" s="677" t="s">
        <v>438</v>
      </c>
      <c r="B6" s="676">
        <v>363899</v>
      </c>
      <c r="C6" s="672" t="s">
        <v>437</v>
      </c>
      <c r="D6" s="673">
        <v>2.7E-2</v>
      </c>
      <c r="E6" s="672" t="s">
        <v>424</v>
      </c>
    </row>
    <row r="7" spans="1:9" ht="16.2" thickBot="1">
      <c r="A7" s="677" t="s">
        <v>436</v>
      </c>
      <c r="B7" s="676">
        <v>753973</v>
      </c>
      <c r="C7" s="672" t="s">
        <v>435</v>
      </c>
      <c r="D7" s="673">
        <v>5.5E-2</v>
      </c>
      <c r="E7" s="672" t="s">
        <v>424</v>
      </c>
    </row>
    <row r="8" spans="1:9" ht="16.2" thickBot="1">
      <c r="A8" s="677" t="s">
        <v>434</v>
      </c>
      <c r="B8" s="676">
        <v>827604</v>
      </c>
      <c r="C8" s="672" t="s">
        <v>433</v>
      </c>
      <c r="D8" s="673">
        <v>0.06</v>
      </c>
      <c r="E8" s="672" t="s">
        <v>424</v>
      </c>
    </row>
    <row r="9" spans="1:9" ht="16.2" thickBot="1">
      <c r="A9" s="677" t="s">
        <v>432</v>
      </c>
      <c r="B9" s="676">
        <v>719392</v>
      </c>
      <c r="C9" s="672" t="s">
        <v>431</v>
      </c>
      <c r="D9" s="673">
        <v>5.2999999999999999E-2</v>
      </c>
      <c r="E9" s="672" t="s">
        <v>424</v>
      </c>
    </row>
    <row r="10" spans="1:9" ht="16.2" thickBot="1">
      <c r="A10" s="677" t="s">
        <v>430</v>
      </c>
      <c r="B10" s="676">
        <v>1585447</v>
      </c>
      <c r="C10" s="672" t="s">
        <v>429</v>
      </c>
      <c r="D10" s="673">
        <v>0.11600000000000001</v>
      </c>
      <c r="E10" s="672" t="s">
        <v>424</v>
      </c>
    </row>
    <row r="11" spans="1:9" ht="16.2" thickBot="1">
      <c r="A11" s="677" t="s">
        <v>428</v>
      </c>
      <c r="B11" s="676">
        <v>521788</v>
      </c>
      <c r="C11" s="672" t="s">
        <v>427</v>
      </c>
      <c r="D11" s="673">
        <v>3.7999999999999999E-2</v>
      </c>
      <c r="E11" s="672" t="s">
        <v>424</v>
      </c>
    </row>
    <row r="12" spans="1:9" ht="16.2" thickBot="1">
      <c r="A12" s="675" t="s">
        <v>426</v>
      </c>
      <c r="B12" s="674">
        <v>18443</v>
      </c>
      <c r="C12" s="672" t="s">
        <v>425</v>
      </c>
      <c r="D12" s="673">
        <v>1E-3</v>
      </c>
      <c r="E12" s="672" t="s">
        <v>424</v>
      </c>
    </row>
    <row r="13" spans="1:9" ht="40.200000000000003" thickBot="1">
      <c r="A13" s="671" t="s">
        <v>423</v>
      </c>
      <c r="B13" s="670">
        <f>B3-B11-B12-B10-B9</f>
        <v>10837906</v>
      </c>
    </row>
    <row r="17" spans="1:3">
      <c r="A17" s="669" t="s">
        <v>422</v>
      </c>
    </row>
    <row r="18" spans="1:3" ht="16.2" thickBot="1">
      <c r="A18" s="669"/>
    </row>
    <row r="19" spans="1:3" ht="16.2" thickBot="1">
      <c r="A19" s="668" t="s">
        <v>421</v>
      </c>
      <c r="B19" s="667">
        <v>9986616</v>
      </c>
    </row>
    <row r="21" spans="1:3">
      <c r="A21" s="664" t="s">
        <v>420</v>
      </c>
      <c r="B21" s="666">
        <f>B19/B13</f>
        <v>0.92145253889450596</v>
      </c>
      <c r="C21" s="665">
        <f>1/B21</f>
        <v>1.0852430893507872</v>
      </c>
    </row>
  </sheetData>
  <customSheetViews>
    <customSheetView guid="{7E8F70E7-08A0-442B-A100-F92E13F1F337}">
      <selection activeCell="C21" sqref="C21"/>
      <pageMargins left="0.7" right="0.7" top="0.75" bottom="0.75" header="0.3" footer="0.3"/>
    </customSheetView>
    <customSheetView guid="{52F27401-6741-4136-9223-9843499AE81D}">
      <selection activeCell="C21" sqref="C21"/>
      <pageMargins left="0.7" right="0.7" top="0.75" bottom="0.75" header="0.3" footer="0.3"/>
    </customSheetView>
  </customSheetViews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6"/>
  <sheetViews>
    <sheetView topLeftCell="B1" workbookViewId="0">
      <selection activeCell="K3" sqref="K3"/>
    </sheetView>
  </sheetViews>
  <sheetFormatPr defaultColWidth="9.109375" defaultRowHeight="14.4"/>
  <cols>
    <col min="1" max="1" width="9.109375" style="916"/>
    <col min="2" max="2" width="13" style="916" bestFit="1" customWidth="1"/>
    <col min="3" max="3" width="20" style="916" bestFit="1" customWidth="1"/>
    <col min="4" max="5" width="9.109375" style="916"/>
    <col min="6" max="6" width="8.5546875" style="916" bestFit="1" customWidth="1"/>
    <col min="7" max="7" width="13.44140625" style="916" bestFit="1" customWidth="1"/>
    <col min="8" max="8" width="16.88671875" style="916" bestFit="1" customWidth="1"/>
    <col min="9" max="9" width="14" style="916" bestFit="1" customWidth="1"/>
    <col min="10" max="10" width="17.33203125" style="916" bestFit="1" customWidth="1"/>
    <col min="11" max="11" width="15.5546875" style="916" customWidth="1"/>
    <col min="12" max="15" width="9.109375" style="916"/>
    <col min="16" max="16" width="21.44140625" style="916" customWidth="1"/>
    <col min="17" max="17" width="14.88671875" style="916" customWidth="1"/>
    <col min="18" max="18" width="11.44140625" style="916" bestFit="1" customWidth="1"/>
    <col min="19" max="19" width="12.109375" style="916" customWidth="1"/>
    <col min="20" max="20" width="14" style="916" customWidth="1"/>
    <col min="21" max="16384" width="9.109375" style="916"/>
  </cols>
  <sheetData>
    <row r="1" spans="2:20">
      <c r="F1" s="1905" t="s">
        <v>726</v>
      </c>
      <c r="G1" s="1905"/>
      <c r="H1" s="1905"/>
      <c r="I1" s="1905"/>
      <c r="J1" s="1905"/>
      <c r="K1" s="1906" t="s">
        <v>727</v>
      </c>
    </row>
    <row r="2" spans="2:20">
      <c r="B2" s="916" t="s">
        <v>728</v>
      </c>
      <c r="C2" s="916" t="s">
        <v>729</v>
      </c>
      <c r="F2" s="1059" t="s">
        <v>730</v>
      </c>
      <c r="G2" s="1059" t="s">
        <v>731</v>
      </c>
      <c r="H2" s="1059" t="s">
        <v>732</v>
      </c>
      <c r="I2" s="1059" t="s">
        <v>705</v>
      </c>
      <c r="J2" s="1059" t="s">
        <v>706</v>
      </c>
      <c r="K2" s="1907"/>
    </row>
    <row r="3" spans="2:20" ht="15" thickBot="1">
      <c r="B3" s="1060" t="s">
        <v>733</v>
      </c>
      <c r="C3" s="1061">
        <v>38</v>
      </c>
      <c r="F3" s="980" t="s">
        <v>733</v>
      </c>
      <c r="G3" s="916" t="s">
        <v>709</v>
      </c>
      <c r="H3" s="916">
        <v>9502</v>
      </c>
      <c r="I3" s="127">
        <v>38.00495960323174</v>
      </c>
      <c r="J3" s="127">
        <f>C3</f>
        <v>38</v>
      </c>
      <c r="K3" s="1062">
        <f t="shared" ref="K3:K12" si="0">1.645*(0.5*0.5/J3)^0.5</f>
        <v>0.13342711888005218</v>
      </c>
    </row>
    <row r="4" spans="2:20" ht="15" thickBot="1">
      <c r="B4" s="1060" t="s">
        <v>734</v>
      </c>
      <c r="C4" s="1061">
        <v>83</v>
      </c>
      <c r="F4" s="980" t="s">
        <v>734</v>
      </c>
      <c r="G4" s="916" t="s">
        <v>710</v>
      </c>
      <c r="H4" s="916">
        <v>20830</v>
      </c>
      <c r="I4" s="127">
        <v>83.31333493320534</v>
      </c>
      <c r="J4" s="127">
        <f>C4</f>
        <v>83</v>
      </c>
      <c r="K4" s="1062">
        <f t="shared" si="0"/>
        <v>9.0281103841520313E-2</v>
      </c>
      <c r="O4" s="1691" t="s">
        <v>66</v>
      </c>
      <c r="P4" s="1692"/>
      <c r="Q4" s="1692"/>
      <c r="R4" s="1692"/>
      <c r="S4" s="1692"/>
      <c r="T4" s="1693"/>
    </row>
    <row r="5" spans="2:20" ht="40.5" customHeight="1">
      <c r="B5" s="1060" t="s">
        <v>735</v>
      </c>
      <c r="C5" s="1061">
        <v>56</v>
      </c>
      <c r="F5" s="980" t="s">
        <v>735</v>
      </c>
      <c r="G5" s="916" t="s">
        <v>711</v>
      </c>
      <c r="H5" s="916">
        <v>14027</v>
      </c>
      <c r="I5" s="127">
        <v>56.103511719062467</v>
      </c>
      <c r="J5" s="127">
        <f>C5</f>
        <v>56</v>
      </c>
      <c r="K5" s="1062">
        <f t="shared" si="0"/>
        <v>0.10991118573648453</v>
      </c>
      <c r="O5" s="1063" t="s">
        <v>0</v>
      </c>
      <c r="P5" s="1063" t="s">
        <v>702</v>
      </c>
      <c r="Q5" s="1064" t="s">
        <v>704</v>
      </c>
      <c r="R5" s="1064" t="s">
        <v>705</v>
      </c>
      <c r="S5" s="1064" t="s">
        <v>706</v>
      </c>
      <c r="T5" s="1064" t="s">
        <v>707</v>
      </c>
    </row>
    <row r="6" spans="2:20" ht="26.25" customHeight="1">
      <c r="B6" s="1060" t="s">
        <v>736</v>
      </c>
      <c r="C6" s="1061">
        <v>19</v>
      </c>
      <c r="F6" s="980" t="s">
        <v>736</v>
      </c>
      <c r="G6" s="916" t="s">
        <v>712</v>
      </c>
      <c r="H6" s="916">
        <v>4862</v>
      </c>
      <c r="I6" s="127">
        <v>19.446444284457243</v>
      </c>
      <c r="J6" s="127">
        <f>C6</f>
        <v>19</v>
      </c>
      <c r="K6" s="1062">
        <f t="shared" si="0"/>
        <v>0.18869444110853706</v>
      </c>
      <c r="O6" s="1694" t="s">
        <v>256</v>
      </c>
      <c r="P6" s="1065" t="s">
        <v>708</v>
      </c>
      <c r="Q6" s="1066">
        <f>H7</f>
        <v>49221</v>
      </c>
      <c r="R6" s="1067">
        <f t="shared" ref="R6:T6" si="1">I7</f>
        <v>196.86825053995699</v>
      </c>
      <c r="S6" s="1068">
        <f t="shared" si="1"/>
        <v>196</v>
      </c>
      <c r="T6" s="1069">
        <f t="shared" si="1"/>
        <v>5.8749999999999997E-2</v>
      </c>
    </row>
    <row r="7" spans="2:20" ht="15.75" customHeight="1">
      <c r="B7" s="1060" t="s">
        <v>737</v>
      </c>
      <c r="C7" s="1061">
        <v>8</v>
      </c>
      <c r="F7" s="1070"/>
      <c r="G7" s="1071" t="s">
        <v>5</v>
      </c>
      <c r="H7" s="1071">
        <v>49221</v>
      </c>
      <c r="I7" s="1072">
        <v>196.86825053995699</v>
      </c>
      <c r="J7" s="1072">
        <f>SUM(J3:J6)</f>
        <v>196</v>
      </c>
      <c r="K7" s="1073">
        <f t="shared" si="0"/>
        <v>5.8749999999999997E-2</v>
      </c>
      <c r="O7" s="1694"/>
      <c r="P7" s="1065" t="s">
        <v>714</v>
      </c>
      <c r="Q7" s="1066">
        <f>H12</f>
        <v>5564</v>
      </c>
      <c r="R7" s="1067">
        <f t="shared" ref="R7:T7" si="2">I12</f>
        <v>22.254219662427005</v>
      </c>
      <c r="S7" s="1068">
        <f t="shared" si="2"/>
        <v>23</v>
      </c>
      <c r="T7" s="1069">
        <f t="shared" si="2"/>
        <v>0.17150310556194401</v>
      </c>
    </row>
    <row r="8" spans="2:20" ht="15.75" customHeight="1">
      <c r="B8" s="1060" t="s">
        <v>738</v>
      </c>
      <c r="C8" s="1061">
        <v>10</v>
      </c>
      <c r="F8" s="980" t="s">
        <v>737</v>
      </c>
      <c r="G8" s="916" t="s">
        <v>709</v>
      </c>
      <c r="H8" s="916">
        <v>1999</v>
      </c>
      <c r="I8" s="127">
        <v>7.9953603711703058</v>
      </c>
      <c r="J8" s="127">
        <f>C7</f>
        <v>8</v>
      </c>
      <c r="K8" s="1062">
        <f>1.645*(0.5*0.5/J8)^0.5</f>
        <v>0.29079766376296767</v>
      </c>
      <c r="O8" s="1694"/>
      <c r="P8" s="1065" t="s">
        <v>718</v>
      </c>
      <c r="Q8" s="1066">
        <f>H20</f>
        <v>3860</v>
      </c>
      <c r="R8" s="1067">
        <f t="shared" ref="R8:T9" si="3">I20</f>
        <v>27.877529797616187</v>
      </c>
      <c r="S8" s="1068">
        <f t="shared" si="3"/>
        <v>28</v>
      </c>
      <c r="T8" s="1069">
        <f t="shared" si="3"/>
        <v>0.1554378895250447</v>
      </c>
    </row>
    <row r="9" spans="2:20">
      <c r="B9" s="1060" t="s">
        <v>739</v>
      </c>
      <c r="C9" s="1061">
        <v>3</v>
      </c>
      <c r="F9" s="980" t="s">
        <v>738</v>
      </c>
      <c r="G9" s="916" t="s">
        <v>710</v>
      </c>
      <c r="H9" s="916">
        <v>2482</v>
      </c>
      <c r="I9" s="127">
        <v>9.9272058235341163</v>
      </c>
      <c r="J9" s="127">
        <f>C8</f>
        <v>10</v>
      </c>
      <c r="K9" s="1062">
        <f t="shared" si="0"/>
        <v>0.26009733754884923</v>
      </c>
      <c r="O9" s="1694"/>
      <c r="P9" s="1074" t="s">
        <v>740</v>
      </c>
      <c r="Q9" s="1075">
        <f>H21</f>
        <v>58645</v>
      </c>
      <c r="R9" s="1076">
        <f t="shared" si="3"/>
        <v>247.00000000000017</v>
      </c>
      <c r="S9" s="1077">
        <f t="shared" si="3"/>
        <v>247</v>
      </c>
      <c r="T9" s="1078">
        <f t="shared" si="3"/>
        <v>5.2334421754757721E-2</v>
      </c>
    </row>
    <row r="10" spans="2:20">
      <c r="B10" s="1060" t="s">
        <v>741</v>
      </c>
      <c r="C10" s="1061">
        <v>2</v>
      </c>
      <c r="F10" s="980" t="s">
        <v>739</v>
      </c>
      <c r="G10" s="916" t="s">
        <v>711</v>
      </c>
      <c r="H10" s="916">
        <v>835</v>
      </c>
      <c r="I10" s="127">
        <v>3.3397328213742901</v>
      </c>
      <c r="J10" s="127">
        <f>C9</f>
        <v>3</v>
      </c>
      <c r="K10" s="1062">
        <f t="shared" si="0"/>
        <v>0.47487059640846718</v>
      </c>
      <c r="O10" s="1694" t="s">
        <v>18</v>
      </c>
      <c r="P10" s="1065" t="s">
        <v>708</v>
      </c>
      <c r="Q10" s="1066">
        <f>H29</f>
        <v>155895</v>
      </c>
      <c r="R10" s="1067">
        <f t="shared" ref="R10:T10" si="4">I29</f>
        <v>529.99994769655632</v>
      </c>
      <c r="S10" s="1068">
        <f t="shared" si="4"/>
        <v>532</v>
      </c>
      <c r="T10" s="1069">
        <f t="shared" si="4"/>
        <v>3.5659897496679437E-2</v>
      </c>
    </row>
    <row r="11" spans="2:20">
      <c r="B11" s="1060" t="s">
        <v>742</v>
      </c>
      <c r="C11" s="1061">
        <v>4</v>
      </c>
      <c r="F11" s="980" t="s">
        <v>741</v>
      </c>
      <c r="G11" s="916" t="s">
        <v>712</v>
      </c>
      <c r="H11" s="916">
        <v>248</v>
      </c>
      <c r="I11" s="127">
        <v>0.99192064634829213</v>
      </c>
      <c r="J11" s="127">
        <f>C10</f>
        <v>2</v>
      </c>
      <c r="K11" s="1062">
        <f t="shared" si="0"/>
        <v>0.58159532752593535</v>
      </c>
      <c r="O11" s="1694"/>
      <c r="P11" s="1065" t="s">
        <v>714</v>
      </c>
      <c r="Q11" s="1066">
        <f>H34</f>
        <v>11603</v>
      </c>
      <c r="R11" s="1067">
        <f t="shared" ref="R11:T11" si="5">I34</f>
        <v>39.446995690196239</v>
      </c>
      <c r="S11" s="1068">
        <f t="shared" si="5"/>
        <v>40</v>
      </c>
      <c r="T11" s="1069">
        <f t="shared" si="5"/>
        <v>0.13004866877442461</v>
      </c>
    </row>
    <row r="12" spans="2:20">
      <c r="B12" s="1060" t="s">
        <v>743</v>
      </c>
      <c r="C12" s="1061">
        <v>11</v>
      </c>
      <c r="F12" s="1071"/>
      <c r="G12" s="1071" t="s">
        <v>5</v>
      </c>
      <c r="H12" s="1071">
        <v>5564</v>
      </c>
      <c r="I12" s="1072">
        <v>22.254219662427005</v>
      </c>
      <c r="J12" s="1072">
        <f>SUM(J8:J11)</f>
        <v>23</v>
      </c>
      <c r="K12" s="1073">
        <f t="shared" si="0"/>
        <v>0.17150310556194401</v>
      </c>
      <c r="O12" s="1694"/>
      <c r="P12" s="1065" t="s">
        <v>718</v>
      </c>
      <c r="Q12" s="1066">
        <f>H42</f>
        <v>11847</v>
      </c>
      <c r="R12" s="1067">
        <f t="shared" ref="R12:T13" si="6">I42</f>
        <v>80.553056613247421</v>
      </c>
      <c r="S12" s="1068">
        <f t="shared" si="6"/>
        <v>80</v>
      </c>
      <c r="T12" s="1069">
        <f t="shared" si="6"/>
        <v>9.1642070831903802E-2</v>
      </c>
    </row>
    <row r="13" spans="2:20">
      <c r="B13" s="1060" t="s">
        <v>744</v>
      </c>
      <c r="C13" s="1061">
        <v>10</v>
      </c>
      <c r="K13" s="1036"/>
      <c r="O13" s="1694"/>
      <c r="P13" s="1074" t="s">
        <v>745</v>
      </c>
      <c r="Q13" s="1075">
        <f>H43</f>
        <v>179345</v>
      </c>
      <c r="R13" s="1076">
        <f t="shared" si="6"/>
        <v>650</v>
      </c>
      <c r="S13" s="1077">
        <f t="shared" si="6"/>
        <v>652</v>
      </c>
      <c r="T13" s="1078">
        <f t="shared" si="6"/>
        <v>3.2211586005754744E-2</v>
      </c>
    </row>
    <row r="14" spans="2:20">
      <c r="B14" s="1060" t="s">
        <v>746</v>
      </c>
      <c r="C14" s="1061">
        <v>3</v>
      </c>
      <c r="F14" s="1905" t="s">
        <v>747</v>
      </c>
      <c r="G14" s="1905"/>
      <c r="H14" s="1905"/>
      <c r="I14" s="1905"/>
      <c r="J14" s="1905"/>
      <c r="K14" s="1906" t="s">
        <v>727</v>
      </c>
      <c r="O14" s="1694" t="s">
        <v>257</v>
      </c>
      <c r="P14" s="1065" t="s">
        <v>708</v>
      </c>
      <c r="Q14" s="1066">
        <f>H52</f>
        <v>33577</v>
      </c>
      <c r="R14" s="1067">
        <f t="shared" ref="R14:T14" si="7">I52</f>
        <v>152.942516170174</v>
      </c>
      <c r="S14" s="1068">
        <f t="shared" si="7"/>
        <v>154</v>
      </c>
      <c r="T14" s="1069">
        <f t="shared" si="7"/>
        <v>6.6278938791087524E-2</v>
      </c>
    </row>
    <row r="15" spans="2:20">
      <c r="B15" s="1060" t="s">
        <v>748</v>
      </c>
      <c r="C15" s="1061">
        <v>201</v>
      </c>
      <c r="F15" s="1059" t="s">
        <v>730</v>
      </c>
      <c r="G15" s="1059" t="s">
        <v>749</v>
      </c>
      <c r="H15" s="1059" t="s">
        <v>732</v>
      </c>
      <c r="I15" s="1059" t="s">
        <v>705</v>
      </c>
      <c r="J15" s="1059" t="s">
        <v>706</v>
      </c>
      <c r="K15" s="1907"/>
      <c r="O15" s="1694"/>
      <c r="P15" s="1065" t="s">
        <v>714</v>
      </c>
      <c r="Q15" s="1066">
        <f>H57</f>
        <v>3269</v>
      </c>
      <c r="R15" s="1067">
        <f t="shared" ref="R15:T15" si="8">I57</f>
        <v>14.890225015942423</v>
      </c>
      <c r="S15" s="1068">
        <f t="shared" si="8"/>
        <v>16</v>
      </c>
      <c r="T15" s="1069">
        <f t="shared" si="8"/>
        <v>0.205625</v>
      </c>
    </row>
    <row r="16" spans="2:20" ht="25.5" customHeight="1">
      <c r="B16" s="1060" t="s">
        <v>750</v>
      </c>
      <c r="C16" s="1061">
        <v>133</v>
      </c>
      <c r="F16" s="916" t="s">
        <v>742</v>
      </c>
      <c r="G16" s="916" t="s">
        <v>709</v>
      </c>
      <c r="H16" s="916">
        <v>497</v>
      </c>
      <c r="I16" s="127">
        <v>3.9756819454443639</v>
      </c>
      <c r="J16" s="1036">
        <f>C11</f>
        <v>4</v>
      </c>
      <c r="K16" s="1062">
        <f>1.645*(0.5*0.5/J16)^0.5</f>
        <v>0.41125</v>
      </c>
      <c r="O16" s="1694"/>
      <c r="P16" s="1065" t="s">
        <v>718</v>
      </c>
      <c r="Q16" s="1066">
        <f>H65</f>
        <v>3531</v>
      </c>
      <c r="R16" s="1067">
        <f t="shared" ref="R16:T17" si="9">I65</f>
        <v>32.167258813883571</v>
      </c>
      <c r="S16" s="1068">
        <f t="shared" si="9"/>
        <v>33</v>
      </c>
      <c r="T16" s="1069">
        <f t="shared" si="9"/>
        <v>9.1642070831903802E-2</v>
      </c>
    </row>
    <row r="17" spans="2:20">
      <c r="B17" s="1060" t="s">
        <v>751</v>
      </c>
      <c r="C17" s="1061">
        <v>127</v>
      </c>
      <c r="F17" s="916" t="s">
        <v>743</v>
      </c>
      <c r="G17" s="916" t="s">
        <v>710</v>
      </c>
      <c r="H17" s="916">
        <v>1678</v>
      </c>
      <c r="I17" s="127">
        <v>11.422926165906725</v>
      </c>
      <c r="J17" s="1036">
        <f>C12</f>
        <v>11</v>
      </c>
      <c r="K17" s="1062">
        <f>1.645*(0.5*0.5/J17)^0.5</f>
        <v>0.24799308091521058</v>
      </c>
      <c r="O17" s="1694"/>
      <c r="P17" s="1074" t="s">
        <v>752</v>
      </c>
      <c r="Q17" s="1075">
        <f>H66</f>
        <v>40377</v>
      </c>
      <c r="R17" s="1076">
        <f t="shared" si="9"/>
        <v>200</v>
      </c>
      <c r="S17" s="1077">
        <f t="shared" si="9"/>
        <v>203</v>
      </c>
      <c r="T17" s="1078">
        <f t="shared" si="9"/>
        <v>5.7728182921760809E-2</v>
      </c>
    </row>
    <row r="18" spans="2:20" ht="15.75" customHeight="1">
      <c r="B18" s="1060" t="s">
        <v>753</v>
      </c>
      <c r="C18" s="1061">
        <v>71</v>
      </c>
      <c r="F18" s="916" t="s">
        <v>744</v>
      </c>
      <c r="G18" s="916" t="s">
        <v>711</v>
      </c>
      <c r="H18" s="916">
        <v>1360</v>
      </c>
      <c r="I18" s="127">
        <v>9.8791296696264297</v>
      </c>
      <c r="J18" s="1036">
        <f>C13</f>
        <v>10</v>
      </c>
      <c r="K18" s="1062">
        <f t="shared" ref="K18:K20" si="10">1.645*(0.5*0.5/J18)^0.5</f>
        <v>0.26009733754884923</v>
      </c>
      <c r="O18" s="1695" t="s">
        <v>5</v>
      </c>
      <c r="P18" s="1695"/>
      <c r="Q18" s="1079">
        <f>Q9+Q13+Q17</f>
        <v>278367</v>
      </c>
      <c r="R18" s="1080">
        <f t="shared" ref="R18:S18" si="11">R9+R13+R17</f>
        <v>1097.0000000000002</v>
      </c>
      <c r="S18" s="1081">
        <f t="shared" si="11"/>
        <v>1102</v>
      </c>
      <c r="T18" s="1082">
        <f>1.645*(0.5*0.5/S18)^0.5</f>
        <v>2.4776793962420992E-2</v>
      </c>
    </row>
    <row r="19" spans="2:20">
      <c r="B19" s="1060" t="s">
        <v>754</v>
      </c>
      <c r="C19" s="1061">
        <v>24</v>
      </c>
      <c r="F19" s="916" t="s">
        <v>746</v>
      </c>
      <c r="G19" s="916" t="s">
        <v>712</v>
      </c>
      <c r="H19" s="916">
        <v>325</v>
      </c>
      <c r="I19" s="127">
        <v>2.5997920166386685</v>
      </c>
      <c r="J19" s="1036">
        <f>C14</f>
        <v>3</v>
      </c>
      <c r="K19" s="1062">
        <f t="shared" si="10"/>
        <v>0.47487059640846718</v>
      </c>
    </row>
    <row r="20" spans="2:20" ht="15.75" customHeight="1">
      <c r="B20" s="1060" t="s">
        <v>755</v>
      </c>
      <c r="C20" s="1061">
        <v>6</v>
      </c>
      <c r="F20" s="1071"/>
      <c r="G20" s="1071" t="s">
        <v>5</v>
      </c>
      <c r="H20" s="1083">
        <v>3860</v>
      </c>
      <c r="I20" s="1072">
        <v>27.877529797616187</v>
      </c>
      <c r="J20" s="1072">
        <f>SUM(J16:J19)</f>
        <v>28</v>
      </c>
      <c r="K20" s="1073">
        <f t="shared" si="10"/>
        <v>0.1554378895250447</v>
      </c>
    </row>
    <row r="21" spans="2:20">
      <c r="B21" s="1060" t="s">
        <v>756</v>
      </c>
      <c r="C21" s="1061">
        <v>6</v>
      </c>
      <c r="F21" s="1084"/>
      <c r="G21" s="1084" t="s">
        <v>757</v>
      </c>
      <c r="H21" s="1085">
        <f>H7+H12+H20</f>
        <v>58645</v>
      </c>
      <c r="I21" s="1086">
        <f>I7+I12+I20</f>
        <v>247.00000000000017</v>
      </c>
      <c r="J21" s="1086">
        <f>J7+J12+J20</f>
        <v>247</v>
      </c>
      <c r="K21" s="1087">
        <f>1.645*(0.5*0.5/J21)^0.5</f>
        <v>5.2334421754757721E-2</v>
      </c>
    </row>
    <row r="22" spans="2:20" ht="15.75" customHeight="1">
      <c r="B22" s="1060" t="s">
        <v>758</v>
      </c>
      <c r="C22" s="1061">
        <v>4</v>
      </c>
      <c r="P22" s="980"/>
    </row>
    <row r="23" spans="2:20" ht="15.75" customHeight="1">
      <c r="B23" s="1060" t="s">
        <v>759</v>
      </c>
      <c r="C23" s="1061">
        <v>48</v>
      </c>
      <c r="F23" s="1905" t="s">
        <v>726</v>
      </c>
      <c r="G23" s="1905"/>
      <c r="H23" s="1905"/>
      <c r="I23" s="1905"/>
      <c r="J23" s="1905"/>
      <c r="K23" s="1906" t="s">
        <v>727</v>
      </c>
      <c r="P23" s="1088"/>
    </row>
    <row r="24" spans="2:20">
      <c r="B24" s="1060" t="s">
        <v>760</v>
      </c>
      <c r="C24" s="1061">
        <v>19</v>
      </c>
      <c r="F24" s="1059" t="s">
        <v>730</v>
      </c>
      <c r="G24" s="1059" t="s">
        <v>731</v>
      </c>
      <c r="H24" s="1059" t="s">
        <v>732</v>
      </c>
      <c r="I24" s="1059" t="s">
        <v>705</v>
      </c>
      <c r="J24" s="1059" t="s">
        <v>706</v>
      </c>
      <c r="K24" s="1907"/>
    </row>
    <row r="25" spans="2:20">
      <c r="B25" s="1060" t="s">
        <v>761</v>
      </c>
      <c r="C25" s="1061">
        <v>11</v>
      </c>
      <c r="F25" s="1089" t="s">
        <v>748</v>
      </c>
      <c r="G25" s="916">
        <v>1989</v>
      </c>
      <c r="H25" s="916">
        <v>59048</v>
      </c>
      <c r="I25" s="127">
        <v>200.74689317544667</v>
      </c>
      <c r="J25" s="127">
        <f>C15</f>
        <v>201</v>
      </c>
      <c r="K25" s="1062">
        <f t="shared" ref="K25:K34" si="12">1.645*(0.5*0.5/J25)^0.5</f>
        <v>5.8014676904369712E-2</v>
      </c>
    </row>
    <row r="26" spans="2:20">
      <c r="B26" s="1060" t="s">
        <v>762</v>
      </c>
      <c r="C26" s="1061">
        <v>2</v>
      </c>
      <c r="F26" s="1089" t="s">
        <v>750</v>
      </c>
      <c r="G26" s="916">
        <v>1993</v>
      </c>
      <c r="H26" s="916">
        <v>39021</v>
      </c>
      <c r="I26" s="127">
        <v>132.66062387547595</v>
      </c>
      <c r="J26" s="127">
        <f>C16</f>
        <v>133</v>
      </c>
      <c r="K26" s="1062">
        <f t="shared" si="12"/>
        <v>7.1319794993358873E-2</v>
      </c>
    </row>
    <row r="27" spans="2:20" ht="15.75" customHeight="1">
      <c r="B27" s="1060" t="s">
        <v>763</v>
      </c>
      <c r="C27" s="1061">
        <v>2</v>
      </c>
      <c r="F27" s="1089" t="s">
        <v>751</v>
      </c>
      <c r="G27" s="916">
        <v>1996</v>
      </c>
      <c r="H27" s="916">
        <v>37408</v>
      </c>
      <c r="I27" s="127">
        <v>127.17686932507637</v>
      </c>
      <c r="J27" s="127">
        <f>C17</f>
        <v>127</v>
      </c>
      <c r="K27" s="1062">
        <f t="shared" si="12"/>
        <v>7.2985072899475353E-2</v>
      </c>
    </row>
    <row r="28" spans="2:20" ht="15.75" customHeight="1">
      <c r="B28" s="1060" t="s">
        <v>764</v>
      </c>
      <c r="C28" s="1061">
        <v>28</v>
      </c>
      <c r="F28" s="1089" t="s">
        <v>753</v>
      </c>
      <c r="G28" s="916">
        <v>2000</v>
      </c>
      <c r="H28" s="916">
        <v>20418</v>
      </c>
      <c r="I28" s="127">
        <v>69.415561320557345</v>
      </c>
      <c r="J28" s="127">
        <f>C18</f>
        <v>71</v>
      </c>
      <c r="K28" s="1062">
        <f t="shared" si="12"/>
        <v>9.7612791386444436E-2</v>
      </c>
    </row>
    <row r="29" spans="2:20">
      <c r="B29" s="1060" t="s">
        <v>765</v>
      </c>
      <c r="C29" s="1061">
        <v>52</v>
      </c>
      <c r="F29" s="1070"/>
      <c r="G29" s="1071" t="s">
        <v>5</v>
      </c>
      <c r="H29" s="1071">
        <v>155895</v>
      </c>
      <c r="I29" s="1072">
        <v>529.99994769655632</v>
      </c>
      <c r="J29" s="1072">
        <f>SUM(J25:J28)</f>
        <v>532</v>
      </c>
      <c r="K29" s="1073">
        <f t="shared" si="12"/>
        <v>3.5659897496679437E-2</v>
      </c>
    </row>
    <row r="30" spans="2:20">
      <c r="B30" s="1060" t="s">
        <v>766</v>
      </c>
      <c r="C30" s="1061">
        <v>72</v>
      </c>
      <c r="F30" s="1089" t="s">
        <v>754</v>
      </c>
      <c r="G30" s="916">
        <v>1989</v>
      </c>
      <c r="H30" s="916">
        <v>6815</v>
      </c>
      <c r="I30" s="127">
        <v>23.16911795472614</v>
      </c>
      <c r="J30" s="127">
        <f>C19</f>
        <v>24</v>
      </c>
      <c r="K30" s="1062">
        <f t="shared" si="12"/>
        <v>0.16789210945326366</v>
      </c>
    </row>
    <row r="31" spans="2:20">
      <c r="B31" s="1060" t="s">
        <v>767</v>
      </c>
      <c r="C31" s="1061">
        <v>2</v>
      </c>
      <c r="F31" s="1089" t="s">
        <v>755</v>
      </c>
      <c r="G31" s="916">
        <v>1993</v>
      </c>
      <c r="H31" s="916">
        <v>1902</v>
      </c>
      <c r="I31" s="127">
        <v>6.4662747395288509</v>
      </c>
      <c r="J31" s="127">
        <f>C20</f>
        <v>6</v>
      </c>
      <c r="K31" s="1062">
        <f t="shared" si="12"/>
        <v>0.33578421890652732</v>
      </c>
    </row>
    <row r="32" spans="2:20" ht="15.75" customHeight="1">
      <c r="B32" s="1060" t="s">
        <v>768</v>
      </c>
      <c r="C32" s="1061">
        <v>5</v>
      </c>
      <c r="F32" s="1089" t="s">
        <v>756</v>
      </c>
      <c r="G32" s="916">
        <v>1996</v>
      </c>
      <c r="H32" s="916">
        <v>1767</v>
      </c>
      <c r="I32" s="127">
        <v>6.0073120214234912</v>
      </c>
      <c r="J32" s="127">
        <f>C21</f>
        <v>6</v>
      </c>
      <c r="K32" s="1062">
        <f t="shared" si="12"/>
        <v>0.33578421890652732</v>
      </c>
    </row>
    <row r="33" spans="2:11">
      <c r="B33" s="1060" t="s">
        <v>769</v>
      </c>
      <c r="C33" s="1061">
        <v>4</v>
      </c>
      <c r="F33" s="1089" t="s">
        <v>758</v>
      </c>
      <c r="G33" s="916">
        <v>2000</v>
      </c>
      <c r="H33" s="916">
        <v>1119</v>
      </c>
      <c r="I33" s="127">
        <v>3.8042909745177629</v>
      </c>
      <c r="J33" s="127">
        <f>C22</f>
        <v>4</v>
      </c>
      <c r="K33" s="1062">
        <f t="shared" si="12"/>
        <v>0.41125</v>
      </c>
    </row>
    <row r="34" spans="2:11">
      <c r="B34" s="1060" t="s">
        <v>770</v>
      </c>
      <c r="C34" s="1061">
        <v>5</v>
      </c>
      <c r="F34" s="1071"/>
      <c r="G34" s="1071" t="s">
        <v>5</v>
      </c>
      <c r="H34" s="1071">
        <v>11603</v>
      </c>
      <c r="I34" s="1072">
        <v>39.446995690196239</v>
      </c>
      <c r="J34" s="1072">
        <f>SUM(J30:J33)</f>
        <v>40</v>
      </c>
      <c r="K34" s="1073">
        <f t="shared" si="12"/>
        <v>0.13004866877442461</v>
      </c>
    </row>
    <row r="35" spans="2:11">
      <c r="B35" s="1060" t="s">
        <v>771</v>
      </c>
      <c r="C35" s="1061">
        <v>1</v>
      </c>
      <c r="K35" s="1036"/>
    </row>
    <row r="36" spans="2:11">
      <c r="B36" s="1060" t="s">
        <v>772</v>
      </c>
      <c r="C36" s="1061">
        <v>8</v>
      </c>
      <c r="F36" s="1905" t="s">
        <v>747</v>
      </c>
      <c r="G36" s="1905"/>
      <c r="H36" s="1905"/>
      <c r="I36" s="1905"/>
      <c r="J36" s="1905"/>
      <c r="K36" s="1906" t="s">
        <v>727</v>
      </c>
    </row>
    <row r="37" spans="2:11">
      <c r="B37" s="1060" t="s">
        <v>773</v>
      </c>
      <c r="C37" s="1061">
        <v>13</v>
      </c>
      <c r="F37" s="1059" t="s">
        <v>730</v>
      </c>
      <c r="G37" s="1059" t="s">
        <v>749</v>
      </c>
      <c r="H37" s="1059" t="s">
        <v>732</v>
      </c>
      <c r="I37" s="1059" t="s">
        <v>705</v>
      </c>
      <c r="J37" s="1059" t="s">
        <v>706</v>
      </c>
      <c r="K37" s="1907"/>
    </row>
    <row r="38" spans="2:11">
      <c r="B38" s="1060" t="s">
        <v>774</v>
      </c>
      <c r="C38" s="1061">
        <v>11</v>
      </c>
      <c r="F38" s="916" t="s">
        <v>759</v>
      </c>
      <c r="G38" s="1090">
        <v>1989</v>
      </c>
      <c r="H38" s="186">
        <v>7115</v>
      </c>
      <c r="I38" s="127">
        <v>48.378070212142767</v>
      </c>
      <c r="J38" s="1036">
        <f>C23</f>
        <v>48</v>
      </c>
      <c r="K38" s="1062">
        <f>1.645*(0.5*0.5/J38)^0.5</f>
        <v>0.1187176491021168</v>
      </c>
    </row>
    <row r="39" spans="2:11">
      <c r="B39" s="1060" t="s">
        <v>696</v>
      </c>
      <c r="C39" s="1061">
        <v>1102</v>
      </c>
      <c r="F39" s="916" t="s">
        <v>760</v>
      </c>
      <c r="G39" s="1090">
        <v>1993</v>
      </c>
      <c r="H39" s="186">
        <v>2739</v>
      </c>
      <c r="I39" s="127">
        <v>18.623687183564165</v>
      </c>
      <c r="J39" s="1036">
        <f>C24</f>
        <v>19</v>
      </c>
      <c r="K39" s="1062">
        <v>0.19059130005628816</v>
      </c>
    </row>
    <row r="40" spans="2:11">
      <c r="F40" s="916" t="s">
        <v>761</v>
      </c>
      <c r="G40" s="1090">
        <v>1996</v>
      </c>
      <c r="H40" s="186">
        <v>1604</v>
      </c>
      <c r="I40" s="127">
        <v>10.906314071718484</v>
      </c>
      <c r="J40" s="1036">
        <f>C25</f>
        <v>11</v>
      </c>
      <c r="K40" s="1062">
        <v>0.24905594141816353</v>
      </c>
    </row>
    <row r="41" spans="2:11">
      <c r="F41" s="916" t="s">
        <v>762</v>
      </c>
      <c r="G41" s="1090">
        <v>2000</v>
      </c>
      <c r="H41" s="186">
        <v>389</v>
      </c>
      <c r="I41" s="127">
        <v>2.6449851458220008</v>
      </c>
      <c r="J41" s="1036">
        <f>C26</f>
        <v>2</v>
      </c>
      <c r="K41" s="1062">
        <v>0.50573648751033196</v>
      </c>
    </row>
    <row r="42" spans="2:11">
      <c r="F42" s="1071"/>
      <c r="G42" s="1071" t="s">
        <v>5</v>
      </c>
      <c r="H42" s="1083">
        <v>11847</v>
      </c>
      <c r="I42" s="1072">
        <v>80.553056613247421</v>
      </c>
      <c r="J42" s="1072">
        <f>SUM(J38:J41)</f>
        <v>80</v>
      </c>
      <c r="K42" s="1073">
        <v>9.1642070831903802E-2</v>
      </c>
    </row>
    <row r="43" spans="2:11">
      <c r="F43" s="1084"/>
      <c r="G43" s="1084" t="s">
        <v>775</v>
      </c>
      <c r="H43" s="1085">
        <f>H29+H34+H42</f>
        <v>179345</v>
      </c>
      <c r="I43" s="1086">
        <f>I29+I34+I42</f>
        <v>650</v>
      </c>
      <c r="J43" s="1086">
        <f>J29+J34+J42</f>
        <v>652</v>
      </c>
      <c r="K43" s="1087">
        <f>1.645*(0.5*0.5/J43)^0.5</f>
        <v>3.2211586005754744E-2</v>
      </c>
    </row>
    <row r="44" spans="2:11">
      <c r="K44" s="1036"/>
    </row>
    <row r="45" spans="2:11">
      <c r="K45" s="1036"/>
    </row>
    <row r="46" spans="2:11">
      <c r="F46" s="1905" t="s">
        <v>726</v>
      </c>
      <c r="G46" s="1905"/>
      <c r="H46" s="1905"/>
      <c r="I46" s="1905"/>
      <c r="J46" s="1905"/>
      <c r="K46" s="1906" t="s">
        <v>727</v>
      </c>
    </row>
    <row r="47" spans="2:11">
      <c r="F47" s="1059" t="s">
        <v>730</v>
      </c>
      <c r="G47" s="1059" t="s">
        <v>731</v>
      </c>
      <c r="H47" s="1059" t="s">
        <v>732</v>
      </c>
      <c r="I47" s="1059" t="s">
        <v>705</v>
      </c>
      <c r="J47" s="1059" t="s">
        <v>706</v>
      </c>
      <c r="K47" s="1907"/>
    </row>
    <row r="48" spans="2:11">
      <c r="F48" s="980" t="s">
        <v>763</v>
      </c>
      <c r="G48" s="916" t="s">
        <v>709</v>
      </c>
      <c r="H48" s="916">
        <v>326</v>
      </c>
      <c r="I48" s="127">
        <v>1.4849230208618018</v>
      </c>
      <c r="J48" s="127">
        <f>GETPIVOTDATA("CATISTRATA",$B$2,"CATISTRATA","SDGE101")</f>
        <v>2</v>
      </c>
      <c r="K48" s="1062">
        <f t="shared" ref="K48:K57" si="13">1.645*(0.5*0.5/J48)^0.5</f>
        <v>0.58159532752593535</v>
      </c>
    </row>
    <row r="49" spans="6:11">
      <c r="F49" s="980" t="s">
        <v>764</v>
      </c>
      <c r="G49" s="916" t="s">
        <v>710</v>
      </c>
      <c r="H49" s="916">
        <v>6214</v>
      </c>
      <c r="I49" s="127">
        <v>28.30463696820625</v>
      </c>
      <c r="J49" s="127">
        <f>GETPIVOTDATA("CATISTRATA",$B$2,"CATISTRATA","SDGE102")</f>
        <v>28</v>
      </c>
      <c r="K49" s="1062">
        <f t="shared" si="13"/>
        <v>0.1554378895250447</v>
      </c>
    </row>
    <row r="50" spans="6:11">
      <c r="F50" s="980" t="s">
        <v>765</v>
      </c>
      <c r="G50" s="916" t="s">
        <v>711</v>
      </c>
      <c r="H50" s="916">
        <v>11328</v>
      </c>
      <c r="I50" s="127">
        <v>51.598797485651815</v>
      </c>
      <c r="J50" s="127">
        <f>GETPIVOTDATA("CATISTRATA",$B$2,"CATISTRATA","SDGE103")</f>
        <v>52</v>
      </c>
      <c r="K50" s="1062">
        <f t="shared" si="13"/>
        <v>0.11406022784881274</v>
      </c>
    </row>
    <row r="51" spans="6:11">
      <c r="F51" s="980" t="s">
        <v>766</v>
      </c>
      <c r="G51" s="916" t="s">
        <v>712</v>
      </c>
      <c r="H51" s="916">
        <v>15709</v>
      </c>
      <c r="I51" s="127">
        <v>71.554158695454134</v>
      </c>
      <c r="J51" s="127">
        <f>GETPIVOTDATA("CATISTRATA",$B$2,"CATISTRATA","SDGE104")</f>
        <v>72</v>
      </c>
      <c r="K51" s="1062">
        <f t="shared" si="13"/>
        <v>9.6932554587655886E-2</v>
      </c>
    </row>
    <row r="52" spans="6:11">
      <c r="F52" s="1070"/>
      <c r="G52" s="1071" t="s">
        <v>5</v>
      </c>
      <c r="H52" s="1071">
        <v>33577</v>
      </c>
      <c r="I52" s="1072">
        <v>152.942516170174</v>
      </c>
      <c r="J52" s="1072">
        <f>SUM(J48:J51)</f>
        <v>154</v>
      </c>
      <c r="K52" s="1073">
        <f t="shared" si="13"/>
        <v>6.6278938791087524E-2</v>
      </c>
    </row>
    <row r="53" spans="6:11">
      <c r="F53" s="980" t="s">
        <v>767</v>
      </c>
      <c r="G53" s="916" t="s">
        <v>709</v>
      </c>
      <c r="H53" s="916">
        <v>141</v>
      </c>
      <c r="I53" s="127">
        <v>0.64225198141568729</v>
      </c>
      <c r="J53" s="127">
        <f>GETPIVOTDATA("CATISTRATA",$B$2,"CATISTRATA","SDGE201")</f>
        <v>2</v>
      </c>
      <c r="K53" s="1062">
        <f t="shared" si="13"/>
        <v>0.58159532752593535</v>
      </c>
    </row>
    <row r="54" spans="6:11">
      <c r="F54" s="980" t="s">
        <v>768</v>
      </c>
      <c r="G54" s="916" t="s">
        <v>710</v>
      </c>
      <c r="H54" s="916">
        <v>988</v>
      </c>
      <c r="I54" s="127">
        <v>4.5003188485014123</v>
      </c>
      <c r="J54" s="127">
        <f>GETPIVOTDATA("CATISTRATA",$B$2,"CATISTRATA","SDGE202")</f>
        <v>5</v>
      </c>
      <c r="K54" s="1062">
        <f t="shared" si="13"/>
        <v>0.36783318229871542</v>
      </c>
    </row>
    <row r="55" spans="6:11">
      <c r="F55" s="980" t="s">
        <v>769</v>
      </c>
      <c r="G55" s="916" t="s">
        <v>711</v>
      </c>
      <c r="H55" s="916">
        <v>938</v>
      </c>
      <c r="I55" s="127">
        <v>4.2725699189213806</v>
      </c>
      <c r="J55" s="127">
        <f>GETPIVOTDATA("CATISTRATA",$B$2,"CATISTRATA","SDGE203")</f>
        <v>4</v>
      </c>
      <c r="K55" s="1062">
        <f t="shared" si="13"/>
        <v>0.41125</v>
      </c>
    </row>
    <row r="56" spans="6:11">
      <c r="F56" s="980" t="s">
        <v>770</v>
      </c>
      <c r="G56" s="916" t="s">
        <v>712</v>
      </c>
      <c r="H56" s="916">
        <v>1202</v>
      </c>
      <c r="I56" s="127">
        <v>5.4750842671039441</v>
      </c>
      <c r="J56" s="127">
        <f>GETPIVOTDATA("CATISTRATA",$B$2,"CATISTRATA","SDGE204")</f>
        <v>5</v>
      </c>
      <c r="K56" s="1062">
        <f t="shared" si="13"/>
        <v>0.36783318229871542</v>
      </c>
    </row>
    <row r="57" spans="6:11">
      <c r="F57" s="1071"/>
      <c r="G57" s="1071" t="s">
        <v>5</v>
      </c>
      <c r="H57" s="1071">
        <v>3269</v>
      </c>
      <c r="I57" s="1072">
        <v>14.890225015942423</v>
      </c>
      <c r="J57" s="1072">
        <f>SUM(J53:J56)</f>
        <v>16</v>
      </c>
      <c r="K57" s="1073">
        <f t="shared" si="13"/>
        <v>0.205625</v>
      </c>
    </row>
    <row r="58" spans="6:11">
      <c r="K58" s="1036"/>
    </row>
    <row r="59" spans="6:11">
      <c r="F59" s="1905" t="s">
        <v>747</v>
      </c>
      <c r="G59" s="1905"/>
      <c r="H59" s="1905"/>
      <c r="I59" s="1905"/>
      <c r="J59" s="1905"/>
      <c r="K59" s="1906" t="s">
        <v>727</v>
      </c>
    </row>
    <row r="60" spans="6:11">
      <c r="F60" s="1059" t="s">
        <v>730</v>
      </c>
      <c r="G60" s="1059" t="s">
        <v>749</v>
      </c>
      <c r="H60" s="1059" t="s">
        <v>732</v>
      </c>
      <c r="I60" s="1059" t="s">
        <v>705</v>
      </c>
      <c r="J60" s="1059" t="s">
        <v>706</v>
      </c>
      <c r="K60" s="1907"/>
    </row>
    <row r="61" spans="6:11">
      <c r="F61" s="916" t="s">
        <v>771</v>
      </c>
      <c r="G61" s="916" t="s">
        <v>709</v>
      </c>
      <c r="H61" s="916">
        <v>79</v>
      </c>
      <c r="I61" s="127">
        <v>0.71968661747289775</v>
      </c>
      <c r="J61" s="1036">
        <f>GETPIVOTDATA("CATISTRATA",$B$2,"CATISTRATA","SDGE301")</f>
        <v>1</v>
      </c>
      <c r="K61" s="1062">
        <f>1.645*(0.5*0.5/J61)^0.5</f>
        <v>0.82250000000000001</v>
      </c>
    </row>
    <row r="62" spans="6:11">
      <c r="F62" s="916" t="s">
        <v>772</v>
      </c>
      <c r="G62" s="916" t="s">
        <v>710</v>
      </c>
      <c r="H62" s="916">
        <v>880</v>
      </c>
      <c r="I62" s="127">
        <v>8.0167623212170902</v>
      </c>
      <c r="J62" s="1036">
        <f>GETPIVOTDATA("CATISTRATA",$B$2,"CATISTRATA","SDGE302")</f>
        <v>8</v>
      </c>
      <c r="K62" s="1062">
        <v>0.19059130005628816</v>
      </c>
    </row>
    <row r="63" spans="6:11">
      <c r="F63" s="916" t="s">
        <v>773</v>
      </c>
      <c r="G63" s="916" t="s">
        <v>711</v>
      </c>
      <c r="H63" s="916">
        <v>1377</v>
      </c>
      <c r="I63" s="127">
        <v>12.544411041268104</v>
      </c>
      <c r="J63" s="1036">
        <f>GETPIVOTDATA("CATISTRATA",$B$2,"CATISTRATA","SDGE303")</f>
        <v>13</v>
      </c>
      <c r="K63" s="1062">
        <v>0.24905594141816353</v>
      </c>
    </row>
    <row r="64" spans="6:11">
      <c r="F64" s="916" t="s">
        <v>774</v>
      </c>
      <c r="G64" s="916" t="s">
        <v>712</v>
      </c>
      <c r="H64" s="916">
        <v>1195</v>
      </c>
      <c r="I64" s="127">
        <v>10.88639883392548</v>
      </c>
      <c r="J64" s="1036">
        <f>GETPIVOTDATA("CATISTRATA",$B$2,"CATISTRATA","SDGE304")</f>
        <v>11</v>
      </c>
      <c r="K64" s="1062">
        <v>0.50573648751033196</v>
      </c>
    </row>
    <row r="65" spans="6:11">
      <c r="F65" s="1071"/>
      <c r="G65" s="1071" t="s">
        <v>5</v>
      </c>
      <c r="H65" s="1083">
        <v>3531</v>
      </c>
      <c r="I65" s="1072">
        <v>32.167258813883571</v>
      </c>
      <c r="J65" s="1072">
        <f>SUM(J61:J64)</f>
        <v>33</v>
      </c>
      <c r="K65" s="1073">
        <v>9.1642070831903802E-2</v>
      </c>
    </row>
    <row r="66" spans="6:11">
      <c r="F66" s="1084"/>
      <c r="G66" s="1084" t="s">
        <v>776</v>
      </c>
      <c r="H66" s="1085">
        <f>H52+H57+H65</f>
        <v>40377</v>
      </c>
      <c r="I66" s="1086">
        <f>I52+I57+I65</f>
        <v>200</v>
      </c>
      <c r="J66" s="1086">
        <f>J52+J57+J65</f>
        <v>203</v>
      </c>
      <c r="K66" s="1087">
        <f>1.645*(0.5*0.5/J66)^0.5</f>
        <v>5.7728182921760809E-2</v>
      </c>
    </row>
  </sheetData>
  <mergeCells count="17">
    <mergeCell ref="F14:J14"/>
    <mergeCell ref="K14:K15"/>
    <mergeCell ref="O14:O17"/>
    <mergeCell ref="F1:J1"/>
    <mergeCell ref="K1:K2"/>
    <mergeCell ref="O4:T4"/>
    <mergeCell ref="O6:O9"/>
    <mergeCell ref="O10:O13"/>
    <mergeCell ref="F59:J59"/>
    <mergeCell ref="K59:K60"/>
    <mergeCell ref="O18:P18"/>
    <mergeCell ref="F23:J23"/>
    <mergeCell ref="K23:K24"/>
    <mergeCell ref="F36:J36"/>
    <mergeCell ref="K36:K37"/>
    <mergeCell ref="F46:J46"/>
    <mergeCell ref="K46:K4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0"/>
  <sheetViews>
    <sheetView topLeftCell="A179" workbookViewId="0">
      <selection activeCell="M202" sqref="M202:M209"/>
    </sheetView>
  </sheetViews>
  <sheetFormatPr defaultColWidth="9.109375" defaultRowHeight="14.4"/>
  <cols>
    <col min="1" max="3" width="16.6640625" style="916" customWidth="1"/>
    <col min="4" max="4" width="16.109375" style="916" bestFit="1" customWidth="1"/>
    <col min="5" max="8" width="16.6640625" style="916" customWidth="1"/>
    <col min="9" max="9" width="9.109375" style="916"/>
    <col min="10" max="12" width="16.6640625" style="916" customWidth="1"/>
    <col min="13" max="13" width="16" style="916" customWidth="1"/>
    <col min="14" max="14" width="19.5546875" style="916" bestFit="1" customWidth="1"/>
    <col min="15" max="15" width="16.44140625" style="916" customWidth="1"/>
    <col min="16" max="16" width="14.6640625" style="916" bestFit="1" customWidth="1"/>
    <col min="17" max="17" width="16.6640625" style="916" customWidth="1"/>
    <col min="18" max="18" width="16.109375" style="916" bestFit="1" customWidth="1"/>
    <col min="19" max="19" width="12" style="916" bestFit="1" customWidth="1"/>
    <col min="20" max="16384" width="9.109375" style="916"/>
  </cols>
  <sheetData>
    <row r="1" spans="1:29" s="41" customFormat="1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L1" s="41">
        <v>12</v>
      </c>
      <c r="M1" s="41">
        <v>13</v>
      </c>
      <c r="N1" s="41">
        <v>14</v>
      </c>
      <c r="O1" s="41">
        <v>15</v>
      </c>
      <c r="P1" s="41">
        <v>16</v>
      </c>
      <c r="Q1" s="41">
        <v>17</v>
      </c>
      <c r="R1" s="41">
        <v>18</v>
      </c>
      <c r="S1" s="41">
        <v>19</v>
      </c>
      <c r="T1" s="41">
        <v>20</v>
      </c>
      <c r="U1" s="41">
        <v>21</v>
      </c>
      <c r="V1" s="41">
        <v>22</v>
      </c>
      <c r="W1" s="41">
        <v>23</v>
      </c>
      <c r="X1" s="41">
        <v>24</v>
      </c>
      <c r="Y1" s="41">
        <v>25</v>
      </c>
      <c r="Z1" s="41">
        <v>26</v>
      </c>
      <c r="AA1" s="41">
        <v>27</v>
      </c>
      <c r="AB1" s="41">
        <v>28</v>
      </c>
      <c r="AC1" s="41">
        <v>29</v>
      </c>
    </row>
    <row r="2" spans="1:29" s="41" customFormat="1"/>
    <row r="3" spans="1:29" s="41" customFormat="1">
      <c r="A3" s="41" t="s">
        <v>799</v>
      </c>
      <c r="B3" s="41" t="s">
        <v>800</v>
      </c>
      <c r="C3" s="41" t="s">
        <v>801</v>
      </c>
      <c r="E3" s="41" t="s">
        <v>802</v>
      </c>
      <c r="F3" s="41" t="s">
        <v>799</v>
      </c>
      <c r="G3" s="41" t="s">
        <v>800</v>
      </c>
      <c r="H3" s="41" t="s">
        <v>801</v>
      </c>
      <c r="J3" s="41" t="s">
        <v>803</v>
      </c>
      <c r="K3" s="41" t="s">
        <v>799</v>
      </c>
      <c r="L3" s="41" t="s">
        <v>800</v>
      </c>
      <c r="M3" s="41" t="s">
        <v>801</v>
      </c>
      <c r="O3" s="41" t="s">
        <v>802</v>
      </c>
      <c r="P3" s="41" t="s">
        <v>803</v>
      </c>
      <c r="Q3" s="41" t="s">
        <v>799</v>
      </c>
      <c r="R3" s="41" t="s">
        <v>800</v>
      </c>
      <c r="S3" s="41" t="s">
        <v>801</v>
      </c>
    </row>
    <row r="4" spans="1:29" s="41" customFormat="1">
      <c r="A4" s="41">
        <v>1</v>
      </c>
      <c r="B4" s="41">
        <v>1055</v>
      </c>
      <c r="C4" s="41">
        <v>95.735027223000003</v>
      </c>
      <c r="E4" s="41" t="s">
        <v>804</v>
      </c>
      <c r="F4" s="41">
        <v>1</v>
      </c>
      <c r="G4" s="41">
        <v>238</v>
      </c>
      <c r="H4" s="41">
        <v>21.597096188999998</v>
      </c>
      <c r="J4" s="41" t="s">
        <v>805</v>
      </c>
      <c r="K4" s="41">
        <v>1</v>
      </c>
      <c r="L4" s="41">
        <v>96</v>
      </c>
      <c r="M4" s="41">
        <v>8.7114337568</v>
      </c>
      <c r="O4" s="41" t="s">
        <v>804</v>
      </c>
      <c r="P4" s="41" t="s">
        <v>805</v>
      </c>
      <c r="Q4" s="41">
        <v>1</v>
      </c>
      <c r="R4" s="41">
        <v>30</v>
      </c>
      <c r="S4" s="41">
        <v>2.7223230489999999</v>
      </c>
    </row>
    <row r="5" spans="1:29" s="41" customFormat="1">
      <c r="A5" s="41">
        <v>2</v>
      </c>
      <c r="B5" s="41">
        <v>25</v>
      </c>
      <c r="C5" s="41">
        <v>2.2686025407999999</v>
      </c>
      <c r="E5" s="41" t="s">
        <v>804</v>
      </c>
      <c r="F5" s="41">
        <v>2</v>
      </c>
      <c r="G5" s="41">
        <v>6</v>
      </c>
      <c r="H5" s="41">
        <v>0.5444646098</v>
      </c>
      <c r="J5" s="41" t="s">
        <v>805</v>
      </c>
      <c r="K5" s="41">
        <v>2</v>
      </c>
      <c r="L5" s="41">
        <v>3</v>
      </c>
      <c r="M5" s="41">
        <v>0.2722323049</v>
      </c>
      <c r="O5" s="41" t="s">
        <v>804</v>
      </c>
      <c r="P5" s="41" t="s">
        <v>805</v>
      </c>
      <c r="Q5" s="41">
        <v>97</v>
      </c>
      <c r="R5" s="41">
        <v>1</v>
      </c>
      <c r="S5" s="41">
        <v>9.0744101600000002E-2</v>
      </c>
    </row>
    <row r="6" spans="1:29" s="41" customFormat="1">
      <c r="A6" s="41">
        <v>97</v>
      </c>
      <c r="B6" s="41">
        <v>22</v>
      </c>
      <c r="C6" s="41">
        <v>1.9963702359</v>
      </c>
      <c r="E6" s="41" t="s">
        <v>804</v>
      </c>
      <c r="F6" s="41">
        <v>97</v>
      </c>
      <c r="G6" s="41">
        <v>3</v>
      </c>
      <c r="H6" s="41">
        <v>0.2722323049</v>
      </c>
      <c r="J6" s="41" t="s">
        <v>805</v>
      </c>
      <c r="K6" s="41">
        <v>97</v>
      </c>
      <c r="L6" s="41">
        <v>3</v>
      </c>
      <c r="M6" s="41">
        <v>0.2722323049</v>
      </c>
      <c r="O6" s="41" t="s">
        <v>804</v>
      </c>
      <c r="P6" s="41" t="s">
        <v>806</v>
      </c>
      <c r="Q6" s="41">
        <v>1</v>
      </c>
      <c r="R6" s="41">
        <v>208</v>
      </c>
      <c r="S6" s="41">
        <v>18.874773139999999</v>
      </c>
    </row>
    <row r="7" spans="1:29" s="41" customFormat="1">
      <c r="E7" s="41" t="s">
        <v>807</v>
      </c>
      <c r="F7" s="41">
        <v>1</v>
      </c>
      <c r="G7" s="41">
        <v>622</v>
      </c>
      <c r="H7" s="41">
        <v>56.442831216000002</v>
      </c>
      <c r="J7" s="41" t="s">
        <v>806</v>
      </c>
      <c r="K7" s="41">
        <v>1</v>
      </c>
      <c r="L7" s="41">
        <v>959</v>
      </c>
      <c r="M7" s="41">
        <v>87.023593465999994</v>
      </c>
      <c r="O7" s="41" t="s">
        <v>804</v>
      </c>
      <c r="P7" s="41" t="s">
        <v>806</v>
      </c>
      <c r="Q7" s="41">
        <v>2</v>
      </c>
      <c r="R7" s="41">
        <v>6</v>
      </c>
      <c r="S7" s="41">
        <v>0.5444646098</v>
      </c>
    </row>
    <row r="8" spans="1:29" s="41" customFormat="1">
      <c r="E8" s="41" t="s">
        <v>807</v>
      </c>
      <c r="F8" s="41">
        <v>2</v>
      </c>
      <c r="G8" s="41">
        <v>15</v>
      </c>
      <c r="H8" s="41">
        <v>1.3611615244999999</v>
      </c>
      <c r="J8" s="41" t="s">
        <v>806</v>
      </c>
      <c r="K8" s="41">
        <v>2</v>
      </c>
      <c r="L8" s="41">
        <v>22</v>
      </c>
      <c r="M8" s="41">
        <v>1.9963702359</v>
      </c>
      <c r="O8" s="41" t="s">
        <v>804</v>
      </c>
      <c r="P8" s="41" t="s">
        <v>806</v>
      </c>
      <c r="Q8" s="41">
        <v>97</v>
      </c>
      <c r="R8" s="41">
        <v>2</v>
      </c>
      <c r="S8" s="41">
        <v>0.18148820330000001</v>
      </c>
    </row>
    <row r="9" spans="1:29" s="41" customFormat="1">
      <c r="E9" s="41" t="s">
        <v>807</v>
      </c>
      <c r="F9" s="41">
        <v>97</v>
      </c>
      <c r="G9" s="41">
        <v>15</v>
      </c>
      <c r="H9" s="41">
        <v>1.3611615244999999</v>
      </c>
      <c r="J9" s="41" t="s">
        <v>806</v>
      </c>
      <c r="K9" s="41">
        <v>97</v>
      </c>
      <c r="L9" s="41">
        <v>19</v>
      </c>
      <c r="M9" s="41">
        <v>1.724137931</v>
      </c>
      <c r="O9" s="41" t="s">
        <v>807</v>
      </c>
      <c r="P9" s="41" t="s">
        <v>805</v>
      </c>
      <c r="Q9" s="41">
        <v>1</v>
      </c>
      <c r="R9" s="41">
        <v>45</v>
      </c>
      <c r="S9" s="41">
        <v>4.0834845734999998</v>
      </c>
    </row>
    <row r="10" spans="1:29" s="41" customFormat="1">
      <c r="E10" s="41" t="s">
        <v>808</v>
      </c>
      <c r="F10" s="41">
        <v>1</v>
      </c>
      <c r="G10" s="41">
        <v>195</v>
      </c>
      <c r="H10" s="41">
        <v>17.695099818999999</v>
      </c>
      <c r="O10" s="41" t="s">
        <v>807</v>
      </c>
      <c r="P10" s="41" t="s">
        <v>805</v>
      </c>
      <c r="Q10" s="41">
        <v>2</v>
      </c>
      <c r="R10" s="41">
        <v>3</v>
      </c>
      <c r="S10" s="41">
        <v>0.2722323049</v>
      </c>
    </row>
    <row r="11" spans="1:29" s="41" customFormat="1">
      <c r="E11" s="41" t="s">
        <v>808</v>
      </c>
      <c r="F11" s="41">
        <v>2</v>
      </c>
      <c r="G11" s="41">
        <v>4</v>
      </c>
      <c r="H11" s="41">
        <v>0.36297640650000002</v>
      </c>
      <c r="O11" s="41" t="s">
        <v>807</v>
      </c>
      <c r="P11" s="41" t="s">
        <v>805</v>
      </c>
      <c r="Q11" s="41">
        <v>97</v>
      </c>
      <c r="R11" s="41">
        <v>2</v>
      </c>
      <c r="S11" s="41">
        <v>0.18148820330000001</v>
      </c>
    </row>
    <row r="12" spans="1:29" s="41" customFormat="1">
      <c r="E12" s="41" t="s">
        <v>808</v>
      </c>
      <c r="F12" s="41">
        <v>97</v>
      </c>
      <c r="G12" s="41">
        <v>4</v>
      </c>
      <c r="H12" s="41">
        <v>0.36297640650000002</v>
      </c>
      <c r="O12" s="41" t="s">
        <v>807</v>
      </c>
      <c r="P12" s="41" t="s">
        <v>806</v>
      </c>
      <c r="Q12" s="41">
        <v>1</v>
      </c>
      <c r="R12" s="41">
        <v>577</v>
      </c>
      <c r="S12" s="41">
        <v>52.359346641999998</v>
      </c>
    </row>
    <row r="13" spans="1:29" s="41" customFormat="1">
      <c r="O13" s="41" t="s">
        <v>807</v>
      </c>
      <c r="P13" s="41" t="s">
        <v>806</v>
      </c>
      <c r="Q13" s="41">
        <v>2</v>
      </c>
      <c r="R13" s="41">
        <v>12</v>
      </c>
      <c r="S13" s="41">
        <v>1.0889292196</v>
      </c>
    </row>
    <row r="14" spans="1:29" s="41" customFormat="1">
      <c r="O14" s="41" t="s">
        <v>807</v>
      </c>
      <c r="P14" s="41" t="s">
        <v>806</v>
      </c>
      <c r="Q14" s="41">
        <v>97</v>
      </c>
      <c r="R14" s="41">
        <v>13</v>
      </c>
      <c r="S14" s="41">
        <v>1.1796733211999999</v>
      </c>
    </row>
    <row r="15" spans="1:29" s="41" customFormat="1">
      <c r="O15" s="41" t="s">
        <v>808</v>
      </c>
      <c r="P15" s="41" t="s">
        <v>805</v>
      </c>
      <c r="Q15" s="41">
        <v>1</v>
      </c>
      <c r="R15" s="41">
        <v>21</v>
      </c>
      <c r="S15" s="41">
        <v>1.9056261343000001</v>
      </c>
    </row>
    <row r="16" spans="1:29" s="41" customFormat="1">
      <c r="O16" s="41" t="s">
        <v>808</v>
      </c>
      <c r="P16" s="41" t="s">
        <v>806</v>
      </c>
      <c r="Q16" s="41">
        <v>1</v>
      </c>
      <c r="R16" s="41">
        <v>174</v>
      </c>
      <c r="S16" s="41">
        <v>15.789473684000001</v>
      </c>
    </row>
    <row r="17" spans="6:24" s="41" customFormat="1">
      <c r="O17" s="41" t="s">
        <v>808</v>
      </c>
      <c r="P17" s="41" t="s">
        <v>806</v>
      </c>
      <c r="Q17" s="41">
        <v>2</v>
      </c>
      <c r="R17" s="41">
        <v>4</v>
      </c>
      <c r="S17" s="41">
        <v>0.36297640650000002</v>
      </c>
    </row>
    <row r="18" spans="6:24" s="41" customFormat="1">
      <c r="O18" s="41" t="s">
        <v>808</v>
      </c>
      <c r="P18" s="41" t="s">
        <v>806</v>
      </c>
      <c r="Q18" s="41">
        <v>97</v>
      </c>
      <c r="R18" s="41">
        <v>4</v>
      </c>
      <c r="S18" s="41">
        <v>0.36297640650000002</v>
      </c>
    </row>
    <row r="19" spans="6:24" s="41" customFormat="1"/>
    <row r="20" spans="6:24" s="41" customFormat="1"/>
    <row r="21" spans="6:24" s="41" customFormat="1"/>
    <row r="22" spans="6:24" s="41" customFormat="1"/>
    <row r="23" spans="6:24" s="41" customFormat="1"/>
    <row r="24" spans="6:24" s="41" customFormat="1"/>
    <row r="25" spans="6:24" s="41" customFormat="1"/>
    <row r="26" spans="6:24" s="41" customFormat="1"/>
    <row r="27" spans="6:24" s="41" customFormat="1"/>
    <row r="28" spans="6:24" s="41" customFormat="1">
      <c r="F28" s="1921" t="s">
        <v>809</v>
      </c>
      <c r="G28" s="1921"/>
      <c r="H28" s="1921"/>
      <c r="I28" s="1921"/>
      <c r="J28" s="1921"/>
      <c r="K28" s="1921"/>
      <c r="L28" s="1921"/>
      <c r="M28" s="1921"/>
      <c r="N28" s="1921"/>
      <c r="O28" s="1921"/>
      <c r="P28" s="1921"/>
      <c r="Q28" s="1921"/>
      <c r="R28" s="1921"/>
      <c r="S28" s="1921"/>
      <c r="T28" s="1921"/>
      <c r="U28" s="1921"/>
      <c r="V28" s="1921"/>
      <c r="W28" s="1921"/>
      <c r="X28" s="1921"/>
    </row>
    <row r="29" spans="6:24" s="41" customFormat="1">
      <c r="F29" s="1921"/>
      <c r="G29" s="1921"/>
      <c r="H29" s="1921"/>
      <c r="I29" s="1921"/>
      <c r="J29" s="1921"/>
      <c r="K29" s="1921"/>
      <c r="L29" s="1921"/>
      <c r="M29" s="1921"/>
      <c r="N29" s="1921"/>
      <c r="O29" s="1921"/>
      <c r="P29" s="1921"/>
      <c r="Q29" s="1921"/>
      <c r="R29" s="1921"/>
      <c r="S29" s="1921"/>
      <c r="T29" s="1921"/>
      <c r="U29" s="1921"/>
      <c r="V29" s="1921"/>
      <c r="W29" s="1921"/>
      <c r="X29" s="1921"/>
    </row>
    <row r="30" spans="6:24" s="41" customFormat="1">
      <c r="F30" s="1921"/>
      <c r="G30" s="1921"/>
      <c r="H30" s="1921"/>
      <c r="I30" s="1921"/>
      <c r="J30" s="1921"/>
      <c r="K30" s="1921"/>
      <c r="L30" s="1921"/>
      <c r="M30" s="1921"/>
      <c r="N30" s="1921"/>
      <c r="O30" s="1921"/>
      <c r="P30" s="1921"/>
      <c r="Q30" s="1921"/>
      <c r="R30" s="1921"/>
      <c r="S30" s="1921"/>
      <c r="T30" s="1921"/>
      <c r="U30" s="1921"/>
      <c r="V30" s="1921"/>
      <c r="W30" s="1921"/>
      <c r="X30" s="1921"/>
    </row>
    <row r="31" spans="6:24" s="41" customFormat="1">
      <c r="F31" s="1921"/>
      <c r="G31" s="1921"/>
      <c r="H31" s="1921"/>
      <c r="I31" s="1921"/>
      <c r="J31" s="1921"/>
      <c r="K31" s="1921"/>
      <c r="L31" s="1921"/>
      <c r="M31" s="1921"/>
      <c r="N31" s="1921"/>
      <c r="O31" s="1921"/>
      <c r="P31" s="1921"/>
      <c r="Q31" s="1921"/>
      <c r="R31" s="1921"/>
      <c r="S31" s="1921"/>
      <c r="T31" s="1921"/>
      <c r="U31" s="1921"/>
      <c r="V31" s="1921"/>
      <c r="W31" s="1921"/>
      <c r="X31" s="1921"/>
    </row>
    <row r="32" spans="6:24" s="41" customFormat="1"/>
    <row r="33" spans="1:19" s="41" customFormat="1"/>
    <row r="34" spans="1:19" s="41" customFormat="1"/>
    <row r="35" spans="1:19" s="41" customFormat="1" ht="28.8">
      <c r="A35" s="1100" t="s">
        <v>810</v>
      </c>
      <c r="B35" s="1100" t="s">
        <v>800</v>
      </c>
      <c r="C35" s="1100" t="s">
        <v>3</v>
      </c>
      <c r="E35" s="1100" t="s">
        <v>100</v>
      </c>
      <c r="F35" s="1100" t="s">
        <v>810</v>
      </c>
      <c r="G35" s="1100" t="s">
        <v>800</v>
      </c>
      <c r="H35" s="1100" t="s">
        <v>3</v>
      </c>
      <c r="J35" s="1100" t="s">
        <v>100</v>
      </c>
      <c r="K35" s="1100" t="s">
        <v>810</v>
      </c>
      <c r="L35" s="1100" t="s">
        <v>800</v>
      </c>
      <c r="M35" s="1100" t="s">
        <v>3</v>
      </c>
      <c r="O35" s="1100" t="s">
        <v>253</v>
      </c>
      <c r="P35" s="1100" t="s">
        <v>100</v>
      </c>
      <c r="Q35" s="1100" t="s">
        <v>810</v>
      </c>
      <c r="R35" s="1100" t="s">
        <v>800</v>
      </c>
      <c r="S35" s="1100" t="s">
        <v>3</v>
      </c>
    </row>
    <row r="36" spans="1:19" s="41" customFormat="1">
      <c r="A36" s="1101" t="str">
        <f>IF(A4=1,"Yes",IF(A4=2,"No",IF(A4=97,"Don't Know",IF(A4=98,"Refused"))))</f>
        <v>Yes</v>
      </c>
      <c r="B36" s="1101">
        <f>B4</f>
        <v>1055</v>
      </c>
      <c r="C36" s="1102">
        <f>B36/SUM(B$36:B$38)</f>
        <v>0.95735027223230496</v>
      </c>
      <c r="E36" s="1919" t="s">
        <v>17</v>
      </c>
      <c r="F36" s="1101" t="str">
        <f t="shared" ref="F36:F44" si="0">IF(F4=1,"Yes",IF(F4=2,"No",IF(F4=97,"Don't Know",IF(F4=98,"Refused"))))</f>
        <v>Yes</v>
      </c>
      <c r="G36" s="1101">
        <f>G4</f>
        <v>238</v>
      </c>
      <c r="H36" s="1102">
        <f>G36/SUM(G$36:G$38)</f>
        <v>0.96356275303643724</v>
      </c>
      <c r="J36" s="1919" t="s">
        <v>805</v>
      </c>
      <c r="K36" s="1101" t="str">
        <f t="shared" ref="K36:K41" si="1">IF(K4=1,"Yes",IF(K4=2,"No",IF(K4=97,"Don't Know",IF(K4=98,"Refused"))))</f>
        <v>Yes</v>
      </c>
      <c r="L36" s="1101">
        <f t="shared" ref="L36:L41" si="2">L4</f>
        <v>96</v>
      </c>
      <c r="M36" s="1102">
        <f>L36/SUM(L$36:L$38)</f>
        <v>0.94117647058823528</v>
      </c>
      <c r="O36" s="1916" t="s">
        <v>804</v>
      </c>
      <c r="P36" s="1920" t="s">
        <v>805</v>
      </c>
      <c r="Q36" s="1101" t="str">
        <f t="shared" ref="Q36:Q50" si="3">IF(Q4=1,"Yes",IF(Q4=2,"No",IF(Q4=97,"Don't Know",IF(Q4=98,"Refused"))))</f>
        <v>Yes</v>
      </c>
      <c r="R36" s="1101">
        <f>R4</f>
        <v>30</v>
      </c>
      <c r="S36" s="1102">
        <f>R36/SUM(R$36,R$37)</f>
        <v>0.967741935483871</v>
      </c>
    </row>
    <row r="37" spans="1:19" s="41" customFormat="1">
      <c r="A37" s="1101" t="str">
        <f>IF(A5=1,"Yes",IF(A5=2,"No",IF(A5=97,"Don't Know",IF(A5=98,"Refused"))))</f>
        <v>No</v>
      </c>
      <c r="B37" s="1101">
        <f>B5</f>
        <v>25</v>
      </c>
      <c r="C37" s="1102">
        <f>B37/SUM(B$36:B$38)</f>
        <v>2.2686025408348458E-2</v>
      </c>
      <c r="E37" s="1919"/>
      <c r="F37" s="1101" t="str">
        <f t="shared" si="0"/>
        <v>No</v>
      </c>
      <c r="G37" s="1101">
        <f t="shared" ref="G37:G44" si="4">G5</f>
        <v>6</v>
      </c>
      <c r="H37" s="1102">
        <f>G37/SUM(G$36:G$38)</f>
        <v>2.4291497975708502E-2</v>
      </c>
      <c r="J37" s="1919"/>
      <c r="K37" s="1101" t="str">
        <f t="shared" si="1"/>
        <v>No</v>
      </c>
      <c r="L37" s="1101">
        <f t="shared" si="2"/>
        <v>3</v>
      </c>
      <c r="M37" s="1102">
        <f>L37/SUM(L$36:L$38)</f>
        <v>2.9411764705882353E-2</v>
      </c>
      <c r="O37" s="1916"/>
      <c r="P37" s="1920"/>
      <c r="Q37" s="1101" t="str">
        <f t="shared" si="3"/>
        <v>Don't Know</v>
      </c>
      <c r="R37" s="1101">
        <f t="shared" ref="R37:R50" si="5">R5</f>
        <v>1</v>
      </c>
      <c r="S37" s="1102">
        <f>R37/SUM(R$36,R$37)</f>
        <v>3.2258064516129031E-2</v>
      </c>
    </row>
    <row r="38" spans="1:19" s="41" customFormat="1">
      <c r="A38" s="1101" t="str">
        <f>IF(A6=1,"Yes",IF(A6=2,"No",IF(A6=97,"Don't Know",IF(A6=98,"Refused"))))</f>
        <v>Don't Know</v>
      </c>
      <c r="B38" s="1101">
        <f>B6</f>
        <v>22</v>
      </c>
      <c r="C38" s="1102">
        <f>B38/SUM(B$36:B$38)</f>
        <v>1.9963702359346643E-2</v>
      </c>
      <c r="E38" s="1919"/>
      <c r="F38" s="1101" t="str">
        <f t="shared" si="0"/>
        <v>Don't Know</v>
      </c>
      <c r="G38" s="1101">
        <f t="shared" si="4"/>
        <v>3</v>
      </c>
      <c r="H38" s="1102">
        <f>G38/SUM(G$36:G$38)</f>
        <v>1.2145748987854251E-2</v>
      </c>
      <c r="J38" s="1919"/>
      <c r="K38" s="1101" t="str">
        <f t="shared" si="1"/>
        <v>Don't Know</v>
      </c>
      <c r="L38" s="1101">
        <f t="shared" si="2"/>
        <v>3</v>
      </c>
      <c r="M38" s="1102">
        <f>L38/SUM(L$36:L$38)</f>
        <v>2.9411764705882353E-2</v>
      </c>
      <c r="O38" s="1916"/>
      <c r="P38" s="1920" t="s">
        <v>806</v>
      </c>
      <c r="Q38" s="1101" t="str">
        <f t="shared" si="3"/>
        <v>Yes</v>
      </c>
      <c r="R38" s="1101">
        <f t="shared" si="5"/>
        <v>208</v>
      </c>
      <c r="S38" s="1102">
        <f>R38/SUM(R$38:R$40)</f>
        <v>0.96296296296296291</v>
      </c>
    </row>
    <row r="39" spans="1:19" s="41" customFormat="1">
      <c r="E39" s="1919" t="s">
        <v>18</v>
      </c>
      <c r="F39" s="1101" t="str">
        <f t="shared" si="0"/>
        <v>Yes</v>
      </c>
      <c r="G39" s="1101">
        <f t="shared" si="4"/>
        <v>622</v>
      </c>
      <c r="H39" s="1102">
        <f t="shared" ref="H39:H44" si="6">G39/SUM(G$39:G$41)</f>
        <v>0.95398773006134974</v>
      </c>
      <c r="J39" s="1919" t="s">
        <v>806</v>
      </c>
      <c r="K39" s="1101" t="str">
        <f t="shared" si="1"/>
        <v>Yes</v>
      </c>
      <c r="L39" s="1101">
        <f t="shared" si="2"/>
        <v>959</v>
      </c>
      <c r="M39" s="1102">
        <f>L39/SUM(L$39:L$41)</f>
        <v>0.95899999999999996</v>
      </c>
      <c r="O39" s="1916"/>
      <c r="P39" s="1920"/>
      <c r="Q39" s="1101" t="str">
        <f t="shared" si="3"/>
        <v>No</v>
      </c>
      <c r="R39" s="1101">
        <f t="shared" si="5"/>
        <v>6</v>
      </c>
      <c r="S39" s="1102">
        <f>R39/SUM(R$38:R$40)</f>
        <v>2.7777777777777776E-2</v>
      </c>
    </row>
    <row r="40" spans="1:19" s="41" customFormat="1">
      <c r="E40" s="1919"/>
      <c r="F40" s="1101" t="str">
        <f t="shared" si="0"/>
        <v>No</v>
      </c>
      <c r="G40" s="1101">
        <f t="shared" si="4"/>
        <v>15</v>
      </c>
      <c r="H40" s="1102">
        <f t="shared" si="6"/>
        <v>2.3006134969325152E-2</v>
      </c>
      <c r="J40" s="1919"/>
      <c r="K40" s="1101" t="str">
        <f t="shared" si="1"/>
        <v>No</v>
      </c>
      <c r="L40" s="1101">
        <f t="shared" si="2"/>
        <v>22</v>
      </c>
      <c r="M40" s="1102">
        <f>L40/SUM(L$39:L$41)</f>
        <v>2.1999999999999999E-2</v>
      </c>
      <c r="O40" s="1916"/>
      <c r="P40" s="1920"/>
      <c r="Q40" s="1101" t="str">
        <f t="shared" si="3"/>
        <v>Don't Know</v>
      </c>
      <c r="R40" s="1101">
        <f t="shared" si="5"/>
        <v>2</v>
      </c>
      <c r="S40" s="1102">
        <f>R40/SUM(R$38:R$40)</f>
        <v>9.2592592592592587E-3</v>
      </c>
    </row>
    <row r="41" spans="1:19" s="41" customFormat="1">
      <c r="E41" s="1919"/>
      <c r="F41" s="1101" t="str">
        <f t="shared" si="0"/>
        <v>Don't Know</v>
      </c>
      <c r="G41" s="1101">
        <f t="shared" si="4"/>
        <v>15</v>
      </c>
      <c r="H41" s="1102">
        <f t="shared" si="6"/>
        <v>2.3006134969325152E-2</v>
      </c>
      <c r="J41" s="1919"/>
      <c r="K41" s="1101" t="str">
        <f t="shared" si="1"/>
        <v>Don't Know</v>
      </c>
      <c r="L41" s="1101">
        <f t="shared" si="2"/>
        <v>19</v>
      </c>
      <c r="M41" s="1102">
        <f>L41/SUM(L$39:L$41)</f>
        <v>1.9E-2</v>
      </c>
      <c r="O41" s="1916" t="s">
        <v>807</v>
      </c>
      <c r="P41" s="1920" t="s">
        <v>805</v>
      </c>
      <c r="Q41" s="1101" t="str">
        <f t="shared" si="3"/>
        <v>Yes</v>
      </c>
      <c r="R41" s="1101">
        <f t="shared" si="5"/>
        <v>45</v>
      </c>
      <c r="S41" s="1102">
        <f>R41/SUM(R$41:R$43)</f>
        <v>0.9</v>
      </c>
    </row>
    <row r="42" spans="1:19" s="41" customFormat="1">
      <c r="E42" s="1919" t="s">
        <v>4</v>
      </c>
      <c r="F42" s="1101" t="str">
        <f t="shared" si="0"/>
        <v>Yes</v>
      </c>
      <c r="G42" s="1101">
        <f t="shared" si="4"/>
        <v>195</v>
      </c>
      <c r="H42" s="1102">
        <f t="shared" si="6"/>
        <v>0.29907975460122699</v>
      </c>
      <c r="O42" s="1916"/>
      <c r="P42" s="1920"/>
      <c r="Q42" s="1101" t="str">
        <f t="shared" si="3"/>
        <v>No</v>
      </c>
      <c r="R42" s="1101">
        <f t="shared" si="5"/>
        <v>3</v>
      </c>
      <c r="S42" s="1102">
        <f>R42/SUM(R$41:R$43)</f>
        <v>0.06</v>
      </c>
    </row>
    <row r="43" spans="1:19" s="41" customFormat="1">
      <c r="E43" s="1919"/>
      <c r="F43" s="1101" t="str">
        <f t="shared" si="0"/>
        <v>No</v>
      </c>
      <c r="G43" s="1101">
        <f t="shared" si="4"/>
        <v>4</v>
      </c>
      <c r="H43" s="1102">
        <f t="shared" si="6"/>
        <v>6.1349693251533744E-3</v>
      </c>
      <c r="O43" s="1916"/>
      <c r="P43" s="1920"/>
      <c r="Q43" s="1101" t="str">
        <f t="shared" si="3"/>
        <v>Don't Know</v>
      </c>
      <c r="R43" s="1101">
        <f t="shared" si="5"/>
        <v>2</v>
      </c>
      <c r="S43" s="1102">
        <f>R43/SUM(R$41:R$43)</f>
        <v>0.04</v>
      </c>
    </row>
    <row r="44" spans="1:19" s="41" customFormat="1">
      <c r="E44" s="1919"/>
      <c r="F44" s="1101" t="str">
        <f t="shared" si="0"/>
        <v>Don't Know</v>
      </c>
      <c r="G44" s="1101">
        <f t="shared" si="4"/>
        <v>4</v>
      </c>
      <c r="H44" s="1102">
        <f t="shared" si="6"/>
        <v>6.1349693251533744E-3</v>
      </c>
      <c r="O44" s="1916"/>
      <c r="P44" s="1920" t="s">
        <v>806</v>
      </c>
      <c r="Q44" s="1101" t="str">
        <f t="shared" si="3"/>
        <v>Yes</v>
      </c>
      <c r="R44" s="1101">
        <f t="shared" si="5"/>
        <v>577</v>
      </c>
      <c r="S44" s="1102">
        <f>R44/SUM(R$44:R$46)</f>
        <v>0.9584717607973422</v>
      </c>
    </row>
    <row r="45" spans="1:19" s="41" customFormat="1">
      <c r="O45" s="1916"/>
      <c r="P45" s="1920"/>
      <c r="Q45" s="1101" t="str">
        <f t="shared" si="3"/>
        <v>No</v>
      </c>
      <c r="R45" s="1101">
        <f t="shared" si="5"/>
        <v>12</v>
      </c>
      <c r="S45" s="1102">
        <f>R45/SUM(R$44:R$46)</f>
        <v>1.9933554817275746E-2</v>
      </c>
    </row>
    <row r="46" spans="1:19" s="41" customFormat="1">
      <c r="O46" s="1916"/>
      <c r="P46" s="1920"/>
      <c r="Q46" s="1101" t="str">
        <f t="shared" si="3"/>
        <v>Don't Know</v>
      </c>
      <c r="R46" s="1101">
        <f t="shared" si="5"/>
        <v>13</v>
      </c>
      <c r="S46" s="1102">
        <f>R46/SUM(R$44:R$46)</f>
        <v>2.1594684385382059E-2</v>
      </c>
    </row>
    <row r="47" spans="1:19" s="41" customFormat="1">
      <c r="O47" s="1916" t="s">
        <v>808</v>
      </c>
      <c r="P47" s="1103" t="s">
        <v>805</v>
      </c>
      <c r="Q47" s="1101" t="str">
        <f t="shared" si="3"/>
        <v>Yes</v>
      </c>
      <c r="R47" s="1101">
        <f t="shared" si="5"/>
        <v>21</v>
      </c>
      <c r="S47" s="1102">
        <f>R47/SUM(R47)</f>
        <v>1</v>
      </c>
    </row>
    <row r="48" spans="1:19" s="41" customFormat="1">
      <c r="O48" s="1916"/>
      <c r="P48" s="1920" t="s">
        <v>806</v>
      </c>
      <c r="Q48" s="1101" t="str">
        <f t="shared" si="3"/>
        <v>Yes</v>
      </c>
      <c r="R48" s="1101">
        <f t="shared" si="5"/>
        <v>174</v>
      </c>
      <c r="S48" s="1102">
        <f>R48/SUM(R$48:R$50)</f>
        <v>0.95604395604395609</v>
      </c>
    </row>
    <row r="49" spans="1:28" s="41" customFormat="1">
      <c r="O49" s="1916"/>
      <c r="P49" s="1920"/>
      <c r="Q49" s="1101" t="str">
        <f t="shared" si="3"/>
        <v>No</v>
      </c>
      <c r="R49" s="1101">
        <f t="shared" si="5"/>
        <v>4</v>
      </c>
      <c r="S49" s="1102">
        <f>R49/SUM(R$48:R$50)</f>
        <v>2.197802197802198E-2</v>
      </c>
    </row>
    <row r="50" spans="1:28" s="41" customFormat="1">
      <c r="O50" s="1916"/>
      <c r="P50" s="1920"/>
      <c r="Q50" s="1101" t="str">
        <f t="shared" si="3"/>
        <v>Don't Know</v>
      </c>
      <c r="R50" s="1101">
        <f t="shared" si="5"/>
        <v>4</v>
      </c>
      <c r="S50" s="1102">
        <f>R50/SUM(R$48:R$50)</f>
        <v>2.197802197802198E-2</v>
      </c>
    </row>
    <row r="51" spans="1:28" s="41" customFormat="1"/>
    <row r="52" spans="1:28" s="41" customFormat="1"/>
    <row r="53" spans="1:28" s="41" customFormat="1"/>
    <row r="54" spans="1:28" s="41" customFormat="1"/>
    <row r="55" spans="1:28" s="41" customFormat="1"/>
    <row r="56" spans="1:28" s="41" customFormat="1"/>
    <row r="57" spans="1:28" s="41" customFormat="1">
      <c r="A57" s="1104" t="s">
        <v>79</v>
      </c>
    </row>
    <row r="58" spans="1:28" s="41" customFormat="1" ht="15" thickBot="1">
      <c r="A58" s="1105"/>
    </row>
    <row r="59" spans="1:28" s="41" customFormat="1" ht="15" customHeight="1">
      <c r="A59" s="1911" t="s">
        <v>33</v>
      </c>
      <c r="B59" s="1912"/>
    </row>
    <row r="60" spans="1:28" s="41" customFormat="1" ht="27.6">
      <c r="A60" s="1106" t="s">
        <v>34</v>
      </c>
      <c r="B60" s="1107">
        <v>1102</v>
      </c>
    </row>
    <row r="61" spans="1:28" s="41" customFormat="1">
      <c r="A61" s="1106" t="s">
        <v>35</v>
      </c>
      <c r="B61" s="1107">
        <v>281263.60399999999</v>
      </c>
    </row>
    <row r="62" spans="1:28" s="41" customFormat="1" ht="58.2" thickBot="1">
      <c r="A62" s="1105"/>
      <c r="R62" s="1108" t="s">
        <v>0</v>
      </c>
      <c r="S62" s="1108" t="s">
        <v>811</v>
      </c>
      <c r="T62" s="1108" t="s">
        <v>332</v>
      </c>
      <c r="U62" s="1109" t="s">
        <v>812</v>
      </c>
      <c r="Z62" s="41" t="s">
        <v>813</v>
      </c>
      <c r="AA62" s="41" t="s">
        <v>814</v>
      </c>
      <c r="AB62" s="41" t="s">
        <v>815</v>
      </c>
    </row>
    <row r="63" spans="1:28" s="41" customFormat="1" ht="15" customHeight="1">
      <c r="A63" s="1911" t="s">
        <v>816</v>
      </c>
      <c r="B63" s="1912"/>
      <c r="C63" s="1912"/>
      <c r="D63" s="1912"/>
      <c r="E63" s="1912"/>
      <c r="F63" s="1912"/>
      <c r="G63" s="1912"/>
      <c r="H63" s="1912"/>
      <c r="K63" s="1918" t="s">
        <v>817</v>
      </c>
      <c r="L63" s="1918"/>
      <c r="R63" s="1916" t="s">
        <v>804</v>
      </c>
      <c r="S63" s="1916">
        <v>2010</v>
      </c>
      <c r="T63" s="1101" t="s">
        <v>289</v>
      </c>
      <c r="U63" s="41">
        <v>2885</v>
      </c>
      <c r="X63" s="1917" t="s">
        <v>17</v>
      </c>
      <c r="Y63" s="41" t="s">
        <v>290</v>
      </c>
      <c r="Z63" s="41">
        <f>U64+U66+U68</f>
        <v>54448</v>
      </c>
    </row>
    <row r="64" spans="1:28" s="41" customFormat="1" ht="15" customHeight="1">
      <c r="A64" s="1913" t="s">
        <v>818</v>
      </c>
      <c r="B64" s="1915" t="s">
        <v>2</v>
      </c>
      <c r="C64" s="1110" t="s">
        <v>16</v>
      </c>
      <c r="D64" s="1110" t="s">
        <v>82</v>
      </c>
      <c r="E64" s="1915" t="s">
        <v>3</v>
      </c>
      <c r="F64" s="1110" t="s">
        <v>84</v>
      </c>
      <c r="G64" s="1915" t="s">
        <v>85</v>
      </c>
      <c r="H64" s="1915"/>
      <c r="K64" s="41" t="s">
        <v>813</v>
      </c>
      <c r="L64" s="41" t="s">
        <v>814</v>
      </c>
      <c r="M64" s="41" t="s">
        <v>819</v>
      </c>
      <c r="N64" s="1918" t="s">
        <v>820</v>
      </c>
      <c r="O64" s="1918"/>
      <c r="R64" s="1916"/>
      <c r="S64" s="1916"/>
      <c r="T64" s="1101" t="s">
        <v>821</v>
      </c>
      <c r="U64" s="41">
        <v>21011</v>
      </c>
      <c r="X64" s="1917"/>
      <c r="Y64" s="41" t="s">
        <v>289</v>
      </c>
      <c r="Z64" s="41">
        <f>U63+U65+U67</f>
        <v>6963</v>
      </c>
    </row>
    <row r="65" spans="1:26" s="41" customFormat="1" ht="15" customHeight="1">
      <c r="A65" s="1913"/>
      <c r="B65" s="1915"/>
      <c r="C65" s="1110" t="s">
        <v>2</v>
      </c>
      <c r="D65" s="1110" t="s">
        <v>83</v>
      </c>
      <c r="E65" s="1915"/>
      <c r="F65" s="1110" t="s">
        <v>3</v>
      </c>
      <c r="G65" s="1915" t="s">
        <v>86</v>
      </c>
      <c r="H65" s="1915"/>
      <c r="J65" s="41" t="s">
        <v>290</v>
      </c>
      <c r="K65" s="41">
        <f>B67+(B68*A68)</f>
        <v>1106</v>
      </c>
      <c r="L65" s="41">
        <f>B89+(B90*2)</f>
        <v>1088</v>
      </c>
      <c r="M65" s="41">
        <f>L65/K65</f>
        <v>0.98372513562386976</v>
      </c>
      <c r="N65" s="41">
        <f>C67+(C68*2)</f>
        <v>274606</v>
      </c>
      <c r="O65" s="41">
        <f>C89+(C90*A90)</f>
        <v>270379</v>
      </c>
      <c r="P65" s="41">
        <f>O65/N65</f>
        <v>0.98460703699118013</v>
      </c>
      <c r="R65" s="1916"/>
      <c r="S65" s="1916">
        <v>2011</v>
      </c>
      <c r="T65" s="1101" t="s">
        <v>382</v>
      </c>
      <c r="U65" s="41">
        <v>2073</v>
      </c>
      <c r="X65" s="1917" t="s">
        <v>18</v>
      </c>
      <c r="Y65" s="41" t="s">
        <v>290</v>
      </c>
      <c r="Z65" s="41">
        <f>U70+U72+U74</f>
        <v>180083</v>
      </c>
    </row>
    <row r="66" spans="1:26" s="41" customFormat="1">
      <c r="A66" s="1106">
        <v>0</v>
      </c>
      <c r="B66" s="1107">
        <v>83</v>
      </c>
      <c r="C66" s="1107">
        <v>20760</v>
      </c>
      <c r="D66" s="1107">
        <v>2260</v>
      </c>
      <c r="E66" s="1107">
        <v>7.3807999999999998</v>
      </c>
      <c r="F66" s="1107">
        <v>0.80359999999999998</v>
      </c>
      <c r="G66" s="1107">
        <v>6.0579000000000001</v>
      </c>
      <c r="H66" s="1107">
        <v>8.7036999999999995</v>
      </c>
      <c r="J66" s="41" t="s">
        <v>289</v>
      </c>
      <c r="R66" s="1916"/>
      <c r="S66" s="1916"/>
      <c r="T66" s="1101" t="s">
        <v>821</v>
      </c>
      <c r="U66" s="41">
        <v>17456</v>
      </c>
      <c r="X66" s="1917"/>
      <c r="Y66" s="41" t="s">
        <v>289</v>
      </c>
      <c r="Z66" s="41">
        <f>U69+U71+U73</f>
        <v>15295</v>
      </c>
    </row>
    <row r="67" spans="1:26" s="41" customFormat="1">
      <c r="A67" s="1106">
        <v>1</v>
      </c>
      <c r="B67" s="1107">
        <v>932</v>
      </c>
      <c r="C67" s="1107">
        <v>246404</v>
      </c>
      <c r="D67" s="1107">
        <v>3603</v>
      </c>
      <c r="E67" s="1107">
        <v>87.605900000000005</v>
      </c>
      <c r="F67" s="1107">
        <v>1.0235000000000001</v>
      </c>
      <c r="G67" s="1107">
        <v>85.920900000000003</v>
      </c>
      <c r="H67" s="1107">
        <v>89.290899999999993</v>
      </c>
      <c r="R67" s="1916"/>
      <c r="S67" s="1916">
        <v>2012</v>
      </c>
      <c r="T67" s="1101" t="s">
        <v>382</v>
      </c>
      <c r="U67" s="41">
        <v>2005</v>
      </c>
      <c r="X67" s="1917" t="s">
        <v>4</v>
      </c>
      <c r="Y67" s="41" t="s">
        <v>290</v>
      </c>
      <c r="Z67" s="41">
        <f>U76+U78+U80</f>
        <v>39014</v>
      </c>
    </row>
    <row r="68" spans="1:26" s="41" customFormat="1">
      <c r="A68" s="1106">
        <v>2</v>
      </c>
      <c r="B68" s="1107">
        <v>87</v>
      </c>
      <c r="C68" s="1107">
        <v>14101</v>
      </c>
      <c r="D68" s="1107">
        <v>1938</v>
      </c>
      <c r="E68" s="1107">
        <v>5.0133000000000001</v>
      </c>
      <c r="F68" s="1107">
        <v>0.68740000000000001</v>
      </c>
      <c r="G68" s="1107">
        <v>3.8816999999999999</v>
      </c>
      <c r="H68" s="1107">
        <v>6.1448</v>
      </c>
      <c r="R68" s="1916"/>
      <c r="S68" s="1916"/>
      <c r="T68" s="1101" t="s">
        <v>821</v>
      </c>
      <c r="U68" s="41">
        <v>15981</v>
      </c>
      <c r="X68" s="1917"/>
      <c r="Y68" s="41" t="s">
        <v>289</v>
      </c>
      <c r="Z68" s="41">
        <f>U75+U77+U79</f>
        <v>4213</v>
      </c>
    </row>
    <row r="69" spans="1:26" s="41" customFormat="1">
      <c r="A69" s="1106" t="s">
        <v>5</v>
      </c>
      <c r="B69" s="1107">
        <v>1102</v>
      </c>
      <c r="C69" s="1107">
        <v>281264</v>
      </c>
      <c r="D69" s="1107">
        <v>2389</v>
      </c>
      <c r="E69" s="1107">
        <v>100</v>
      </c>
      <c r="F69" s="1107"/>
      <c r="G69" s="1107"/>
      <c r="H69" s="1107"/>
      <c r="R69" s="1916" t="s">
        <v>807</v>
      </c>
      <c r="S69" s="1916">
        <v>2010</v>
      </c>
      <c r="T69" s="1101" t="s">
        <v>382</v>
      </c>
      <c r="U69" s="41">
        <v>5699</v>
      </c>
    </row>
    <row r="70" spans="1:26" s="41" customFormat="1" ht="15" thickBot="1">
      <c r="A70" s="1105"/>
      <c r="R70" s="1916"/>
      <c r="S70" s="1916"/>
      <c r="T70" s="1101" t="s">
        <v>821</v>
      </c>
      <c r="U70" s="41">
        <v>65738</v>
      </c>
    </row>
    <row r="71" spans="1:26" s="41" customFormat="1" ht="15" customHeight="1">
      <c r="A71" s="1911" t="s">
        <v>6</v>
      </c>
      <c r="B71" s="1912"/>
      <c r="R71" s="1916"/>
      <c r="S71" s="1916">
        <v>2011</v>
      </c>
      <c r="T71" s="1101" t="s">
        <v>382</v>
      </c>
      <c r="U71" s="41">
        <v>5879</v>
      </c>
    </row>
    <row r="72" spans="1:26" s="41" customFormat="1" ht="27.6">
      <c r="A72" s="1106" t="s">
        <v>7</v>
      </c>
      <c r="B72" s="1107">
        <v>1461.6062999999999</v>
      </c>
      <c r="R72" s="1916"/>
      <c r="S72" s="1916"/>
      <c r="T72" s="1101" t="s">
        <v>821</v>
      </c>
      <c r="U72" s="41">
        <v>69820</v>
      </c>
    </row>
    <row r="73" spans="1:26" s="41" customFormat="1" ht="27.6">
      <c r="A73" s="1106" t="s">
        <v>8</v>
      </c>
      <c r="B73" s="1107">
        <v>1.0663</v>
      </c>
      <c r="R73" s="1916"/>
      <c r="S73" s="1916">
        <v>2012</v>
      </c>
      <c r="T73" s="1101" t="s">
        <v>382</v>
      </c>
      <c r="U73" s="41">
        <v>3717</v>
      </c>
    </row>
    <row r="74" spans="1:26" s="41" customFormat="1">
      <c r="A74" s="1106"/>
      <c r="B74" s="1107"/>
      <c r="J74" s="41">
        <v>400000</v>
      </c>
      <c r="K74" s="41" t="s">
        <v>822</v>
      </c>
      <c r="L74" s="41" t="s">
        <v>823</v>
      </c>
      <c r="R74" s="1916"/>
      <c r="S74" s="1916"/>
      <c r="T74" s="1101" t="s">
        <v>821</v>
      </c>
      <c r="U74" s="41">
        <v>44525</v>
      </c>
    </row>
    <row r="75" spans="1:26" s="41" customFormat="1" ht="27.6">
      <c r="A75" s="1106" t="s">
        <v>9</v>
      </c>
      <c r="B75" s="1107">
        <v>1370.7466999999999</v>
      </c>
      <c r="J75" s="41">
        <v>143000</v>
      </c>
      <c r="K75" s="41" t="s">
        <v>824</v>
      </c>
      <c r="L75" s="41">
        <f>J74/J75</f>
        <v>2.7972027972027971</v>
      </c>
      <c r="R75" s="1916" t="s">
        <v>808</v>
      </c>
      <c r="S75" s="1916">
        <v>2010</v>
      </c>
      <c r="T75" s="1101" t="s">
        <v>382</v>
      </c>
      <c r="U75" s="41">
        <v>1619</v>
      </c>
    </row>
    <row r="76" spans="1:26" s="41" customFormat="1">
      <c r="A76" s="1106" t="s">
        <v>10</v>
      </c>
      <c r="B76" s="1107">
        <v>2</v>
      </c>
      <c r="J76" s="41">
        <v>99549</v>
      </c>
      <c r="K76" s="41" t="s">
        <v>825</v>
      </c>
      <c r="L76" s="1111">
        <f>J76*L75</f>
        <v>278458.74125874124</v>
      </c>
      <c r="R76" s="1916"/>
      <c r="S76" s="1916"/>
      <c r="T76" s="1101" t="s">
        <v>821</v>
      </c>
      <c r="U76" s="41">
        <v>15248</v>
      </c>
    </row>
    <row r="77" spans="1:26" s="41" customFormat="1">
      <c r="A77" s="1106" t="s">
        <v>11</v>
      </c>
      <c r="B77" s="1107" t="s">
        <v>42</v>
      </c>
      <c r="J77" s="1107">
        <v>30547</v>
      </c>
      <c r="K77" s="41" t="s">
        <v>450</v>
      </c>
      <c r="L77" s="1111">
        <f>J77*L75</f>
        <v>85446.153846153844</v>
      </c>
      <c r="R77" s="1916"/>
      <c r="S77" s="1916">
        <v>2011</v>
      </c>
      <c r="T77" s="1101" t="s">
        <v>382</v>
      </c>
      <c r="U77" s="41">
        <v>1626</v>
      </c>
    </row>
    <row r="78" spans="1:26" s="41" customFormat="1">
      <c r="A78" s="1106"/>
      <c r="B78" s="1107"/>
      <c r="J78" s="1107">
        <v>64318</v>
      </c>
      <c r="K78" s="41" t="s">
        <v>87</v>
      </c>
      <c r="L78" s="1111">
        <f>J78*L75</f>
        <v>179910.48951048951</v>
      </c>
      <c r="M78" s="1112">
        <f>L78/0.74204</f>
        <v>242453.8967043414</v>
      </c>
      <c r="R78" s="1916"/>
      <c r="S78" s="1916"/>
      <c r="T78" s="1101" t="s">
        <v>821</v>
      </c>
      <c r="U78" s="41">
        <v>15038</v>
      </c>
    </row>
    <row r="79" spans="1:26" s="41" customFormat="1">
      <c r="A79" s="1106" t="s">
        <v>12</v>
      </c>
      <c r="B79" s="1107">
        <v>685.37329999999997</v>
      </c>
      <c r="M79" s="1112">
        <f>M78-L78</f>
        <v>62543.40719385189</v>
      </c>
      <c r="R79" s="1916"/>
      <c r="S79" s="1916">
        <v>2012</v>
      </c>
      <c r="T79" s="1101" t="s">
        <v>382</v>
      </c>
      <c r="U79" s="41">
        <v>968</v>
      </c>
    </row>
    <row r="80" spans="1:26" s="41" customFormat="1">
      <c r="A80" s="1106" t="s">
        <v>13</v>
      </c>
      <c r="B80" s="1107">
        <v>2</v>
      </c>
      <c r="R80" s="1916"/>
      <c r="S80" s="1916"/>
      <c r="T80" s="1101" t="s">
        <v>821</v>
      </c>
      <c r="U80" s="41">
        <v>8728</v>
      </c>
    </row>
    <row r="81" spans="1:12" s="41" customFormat="1">
      <c r="A81" s="1106" t="s">
        <v>14</v>
      </c>
      <c r="B81" s="1107">
        <v>2202</v>
      </c>
    </row>
    <row r="82" spans="1:12" s="41" customFormat="1">
      <c r="A82" s="1106" t="s">
        <v>15</v>
      </c>
      <c r="B82" s="1107" t="s">
        <v>42</v>
      </c>
      <c r="L82" s="41" t="s">
        <v>826</v>
      </c>
    </row>
    <row r="83" spans="1:12" s="41" customFormat="1" ht="15" customHeight="1">
      <c r="A83" s="1913" t="s">
        <v>827</v>
      </c>
      <c r="B83" s="1914"/>
    </row>
    <row r="84" spans="1:12" s="41" customFormat="1" ht="15" thickBot="1">
      <c r="A84" s="1105"/>
    </row>
    <row r="85" spans="1:12" s="41" customFormat="1" ht="15" customHeight="1">
      <c r="A85" s="1911" t="s">
        <v>828</v>
      </c>
      <c r="B85" s="1912"/>
      <c r="C85" s="1912"/>
      <c r="D85" s="1912"/>
      <c r="E85" s="1912"/>
      <c r="F85" s="1912"/>
      <c r="G85" s="1912"/>
      <c r="H85" s="1912"/>
    </row>
    <row r="86" spans="1:12" s="41" customFormat="1" ht="15" customHeight="1">
      <c r="A86" s="1913" t="s">
        <v>829</v>
      </c>
      <c r="B86" s="1915" t="s">
        <v>2</v>
      </c>
      <c r="C86" s="1110" t="s">
        <v>16</v>
      </c>
      <c r="D86" s="1110" t="s">
        <v>82</v>
      </c>
      <c r="E86" s="1915" t="s">
        <v>3</v>
      </c>
      <c r="F86" s="1110" t="s">
        <v>84</v>
      </c>
      <c r="G86" s="1915" t="s">
        <v>85</v>
      </c>
      <c r="H86" s="1915"/>
    </row>
    <row r="87" spans="1:12" s="41" customFormat="1" ht="15" customHeight="1">
      <c r="A87" s="1913"/>
      <c r="B87" s="1915"/>
      <c r="C87" s="1110" t="s">
        <v>2</v>
      </c>
      <c r="D87" s="1110" t="s">
        <v>83</v>
      </c>
      <c r="E87" s="1915"/>
      <c r="F87" s="1110" t="s">
        <v>3</v>
      </c>
      <c r="G87" s="1915" t="s">
        <v>86</v>
      </c>
      <c r="H87" s="1915"/>
    </row>
    <row r="88" spans="1:12" s="41" customFormat="1">
      <c r="A88" s="1106">
        <v>0</v>
      </c>
      <c r="B88" s="1107">
        <v>86</v>
      </c>
      <c r="C88" s="1107">
        <v>21411</v>
      </c>
      <c r="D88" s="1107">
        <v>2288</v>
      </c>
      <c r="E88" s="1107">
        <v>7.6125999999999996</v>
      </c>
      <c r="F88" s="1107">
        <v>0.81399999999999995</v>
      </c>
      <c r="G88" s="1107">
        <v>6.2725999999999997</v>
      </c>
      <c r="H88" s="1107">
        <v>8.9527000000000001</v>
      </c>
    </row>
    <row r="89" spans="1:12" s="41" customFormat="1">
      <c r="A89" s="1106">
        <v>1</v>
      </c>
      <c r="B89" s="1107">
        <v>944</v>
      </c>
      <c r="C89" s="1107">
        <v>249325</v>
      </c>
      <c r="D89" s="1107">
        <v>3698</v>
      </c>
      <c r="E89" s="1107">
        <v>88.644499999999994</v>
      </c>
      <c r="F89" s="1107">
        <v>0.92269999999999996</v>
      </c>
      <c r="G89" s="1107">
        <v>87.125399999999999</v>
      </c>
      <c r="H89" s="1107">
        <v>90.163499999999999</v>
      </c>
    </row>
    <row r="90" spans="1:12" s="41" customFormat="1">
      <c r="A90" s="1106">
        <v>2</v>
      </c>
      <c r="B90" s="1107">
        <v>72</v>
      </c>
      <c r="C90" s="1107">
        <v>10527</v>
      </c>
      <c r="D90" s="1107">
        <v>1291</v>
      </c>
      <c r="E90" s="1107">
        <v>3.7429000000000001</v>
      </c>
      <c r="F90" s="1107">
        <v>0.46960000000000002</v>
      </c>
      <c r="G90" s="1107">
        <v>2.9699</v>
      </c>
      <c r="H90" s="1107">
        <v>4.5159000000000002</v>
      </c>
    </row>
    <row r="91" spans="1:12" s="41" customFormat="1">
      <c r="A91" s="1106" t="s">
        <v>5</v>
      </c>
      <c r="B91" s="1107">
        <v>1102</v>
      </c>
      <c r="C91" s="1107">
        <v>281264</v>
      </c>
      <c r="D91" s="1107">
        <v>2389</v>
      </c>
      <c r="E91" s="1107">
        <v>100</v>
      </c>
      <c r="F91" s="1107"/>
      <c r="G91" s="1107"/>
      <c r="H91" s="1107"/>
    </row>
    <row r="92" spans="1:12" s="41" customFormat="1" ht="15" thickBot="1">
      <c r="A92" s="1105"/>
    </row>
    <row r="93" spans="1:12" s="41" customFormat="1" ht="15" customHeight="1">
      <c r="A93" s="1911" t="s">
        <v>6</v>
      </c>
      <c r="B93" s="1912"/>
    </row>
    <row r="94" spans="1:12" s="41" customFormat="1" ht="27.6">
      <c r="A94" s="1106" t="s">
        <v>7</v>
      </c>
      <c r="B94" s="1107">
        <v>1519.5934</v>
      </c>
    </row>
    <row r="95" spans="1:12" s="41" customFormat="1" ht="27.6">
      <c r="A95" s="1106" t="s">
        <v>8</v>
      </c>
      <c r="B95" s="1107">
        <v>0.85629999999999995</v>
      </c>
    </row>
    <row r="96" spans="1:12" s="41" customFormat="1">
      <c r="A96" s="1106"/>
      <c r="B96" s="1107"/>
    </row>
    <row r="97" spans="1:8" s="41" customFormat="1" ht="27.6">
      <c r="A97" s="1106" t="s">
        <v>9</v>
      </c>
      <c r="B97" s="1107">
        <v>1774.5487000000001</v>
      </c>
    </row>
    <row r="98" spans="1:8" s="41" customFormat="1">
      <c r="A98" s="1106" t="s">
        <v>10</v>
      </c>
      <c r="B98" s="1107">
        <v>2</v>
      </c>
    </row>
    <row r="99" spans="1:8" s="41" customFormat="1">
      <c r="A99" s="1106" t="s">
        <v>11</v>
      </c>
      <c r="B99" s="1107" t="s">
        <v>42</v>
      </c>
    </row>
    <row r="100" spans="1:8" s="41" customFormat="1">
      <c r="A100" s="1106"/>
      <c r="B100" s="1107"/>
    </row>
    <row r="101" spans="1:8" s="41" customFormat="1">
      <c r="A101" s="1106" t="s">
        <v>12</v>
      </c>
      <c r="B101" s="1107">
        <v>887.27430000000004</v>
      </c>
    </row>
    <row r="102" spans="1:8" s="41" customFormat="1">
      <c r="A102" s="1106" t="s">
        <v>13</v>
      </c>
      <c r="B102" s="1107">
        <v>2</v>
      </c>
    </row>
    <row r="103" spans="1:8" s="41" customFormat="1">
      <c r="A103" s="1106" t="s">
        <v>14</v>
      </c>
      <c r="B103" s="1107">
        <v>2202</v>
      </c>
    </row>
    <row r="104" spans="1:8" s="41" customFormat="1">
      <c r="A104" s="1106" t="s">
        <v>15</v>
      </c>
      <c r="B104" s="1107" t="s">
        <v>42</v>
      </c>
    </row>
    <row r="105" spans="1:8" s="41" customFormat="1" ht="15" customHeight="1">
      <c r="A105" s="1913" t="s">
        <v>827</v>
      </c>
      <c r="B105" s="1914"/>
    </row>
    <row r="106" spans="1:8" s="41" customFormat="1" ht="15" thickBot="1">
      <c r="A106" s="1105"/>
    </row>
    <row r="107" spans="1:8" s="41" customFormat="1" ht="15" customHeight="1">
      <c r="A107" s="1911" t="s">
        <v>830</v>
      </c>
      <c r="B107" s="1912"/>
      <c r="C107" s="1912"/>
      <c r="D107" s="1912"/>
      <c r="E107" s="1912"/>
      <c r="F107" s="1912"/>
      <c r="G107" s="1912"/>
      <c r="H107" s="1912"/>
    </row>
    <row r="108" spans="1:8" s="41" customFormat="1" ht="15" customHeight="1">
      <c r="A108" s="1913" t="s">
        <v>831</v>
      </c>
      <c r="B108" s="1915" t="s">
        <v>2</v>
      </c>
      <c r="C108" s="1110" t="s">
        <v>16</v>
      </c>
      <c r="D108" s="1110" t="s">
        <v>82</v>
      </c>
      <c r="E108" s="1915" t="s">
        <v>3</v>
      </c>
      <c r="F108" s="1110" t="s">
        <v>84</v>
      </c>
      <c r="G108" s="1915" t="s">
        <v>85</v>
      </c>
      <c r="H108" s="1915"/>
    </row>
    <row r="109" spans="1:8" s="41" customFormat="1" ht="15" customHeight="1">
      <c r="A109" s="1913"/>
      <c r="B109" s="1915"/>
      <c r="C109" s="1110" t="s">
        <v>2</v>
      </c>
      <c r="D109" s="1110" t="s">
        <v>83</v>
      </c>
      <c r="E109" s="1915"/>
      <c r="F109" s="1110" t="s">
        <v>3</v>
      </c>
      <c r="G109" s="1915" t="s">
        <v>86</v>
      </c>
      <c r="H109" s="1915"/>
    </row>
    <row r="110" spans="1:8" s="41" customFormat="1">
      <c r="A110" s="1106">
        <v>0</v>
      </c>
      <c r="B110" s="1107">
        <v>969</v>
      </c>
      <c r="C110" s="1107">
        <v>252651</v>
      </c>
      <c r="D110" s="1107">
        <v>3367</v>
      </c>
      <c r="E110" s="1107">
        <v>89.827100000000002</v>
      </c>
      <c r="F110" s="1107">
        <v>0.96519999999999995</v>
      </c>
      <c r="G110" s="1107">
        <v>88.238100000000003</v>
      </c>
      <c r="H110" s="1107">
        <v>91.4161</v>
      </c>
    </row>
    <row r="111" spans="1:8" s="41" customFormat="1">
      <c r="A111" s="1106">
        <v>1</v>
      </c>
      <c r="B111" s="1107">
        <v>129</v>
      </c>
      <c r="C111" s="1107">
        <v>28289</v>
      </c>
      <c r="D111" s="1107">
        <v>2737</v>
      </c>
      <c r="E111" s="1107">
        <v>10.0578</v>
      </c>
      <c r="F111" s="1107">
        <v>0.96379999999999999</v>
      </c>
      <c r="G111" s="1107">
        <v>8.4711999999999996</v>
      </c>
      <c r="H111" s="1107">
        <v>11.644500000000001</v>
      </c>
    </row>
    <row r="112" spans="1:8" s="41" customFormat="1">
      <c r="A112" s="1106">
        <v>2</v>
      </c>
      <c r="B112" s="1107">
        <v>4</v>
      </c>
      <c r="C112" s="1107">
        <v>323.54545000000002</v>
      </c>
      <c r="D112" s="1107">
        <v>168.24243999999999</v>
      </c>
      <c r="E112" s="1107">
        <v>0.115</v>
      </c>
      <c r="F112" s="1107">
        <v>0.06</v>
      </c>
      <c r="G112" s="1107">
        <v>1.6299999999999999E-2</v>
      </c>
      <c r="H112" s="1107">
        <v>0.2137</v>
      </c>
    </row>
    <row r="113" spans="1:8" s="41" customFormat="1">
      <c r="A113" s="1106" t="s">
        <v>5</v>
      </c>
      <c r="B113" s="1107">
        <v>1102</v>
      </c>
      <c r="C113" s="1107">
        <v>281264</v>
      </c>
      <c r="D113" s="1107">
        <v>2389</v>
      </c>
      <c r="E113" s="1107">
        <v>100</v>
      </c>
      <c r="F113" s="1107"/>
      <c r="G113" s="1107"/>
      <c r="H113" s="1107"/>
    </row>
    <row r="114" spans="1:8" s="41" customFormat="1" ht="15" thickBot="1">
      <c r="A114" s="1105"/>
    </row>
    <row r="115" spans="1:8" s="41" customFormat="1" ht="15" customHeight="1">
      <c r="A115" s="1911" t="s">
        <v>6</v>
      </c>
      <c r="B115" s="1912"/>
    </row>
    <row r="116" spans="1:8" s="41" customFormat="1" ht="27.6">
      <c r="A116" s="1106" t="s">
        <v>7</v>
      </c>
      <c r="B116" s="1107">
        <v>1599.0307</v>
      </c>
    </row>
    <row r="117" spans="1:8" s="41" customFormat="1" ht="27.6">
      <c r="A117" s="1106" t="s">
        <v>8</v>
      </c>
      <c r="B117" s="1107">
        <v>0.73760000000000003</v>
      </c>
    </row>
    <row r="118" spans="1:8" s="41" customFormat="1">
      <c r="A118" s="1106"/>
      <c r="B118" s="1107"/>
    </row>
    <row r="119" spans="1:8" s="41" customFormat="1" ht="27.6">
      <c r="A119" s="1106" t="s">
        <v>9</v>
      </c>
      <c r="B119" s="1107">
        <v>2167.9913000000001</v>
      </c>
    </row>
    <row r="120" spans="1:8" s="41" customFormat="1">
      <c r="A120" s="1106" t="s">
        <v>10</v>
      </c>
      <c r="B120" s="1107">
        <v>2</v>
      </c>
    </row>
    <row r="121" spans="1:8" s="41" customFormat="1">
      <c r="A121" s="1106" t="s">
        <v>11</v>
      </c>
      <c r="B121" s="1107" t="s">
        <v>42</v>
      </c>
    </row>
    <row r="122" spans="1:8" s="41" customFormat="1">
      <c r="A122" s="1106"/>
      <c r="B122" s="1107"/>
    </row>
    <row r="123" spans="1:8" s="41" customFormat="1">
      <c r="A123" s="1106" t="s">
        <v>12</v>
      </c>
      <c r="B123" s="1107">
        <v>1083.9956</v>
      </c>
    </row>
    <row r="124" spans="1:8" s="41" customFormat="1">
      <c r="A124" s="1106" t="s">
        <v>13</v>
      </c>
      <c r="B124" s="1107">
        <v>2</v>
      </c>
    </row>
    <row r="125" spans="1:8" s="41" customFormat="1">
      <c r="A125" s="1106" t="s">
        <v>14</v>
      </c>
      <c r="B125" s="1107">
        <v>2202</v>
      </c>
    </row>
    <row r="126" spans="1:8" s="41" customFormat="1">
      <c r="A126" s="1106" t="s">
        <v>15</v>
      </c>
      <c r="B126" s="1107" t="s">
        <v>42</v>
      </c>
    </row>
    <row r="127" spans="1:8" s="41" customFormat="1" ht="15" customHeight="1">
      <c r="A127" s="1913" t="s">
        <v>827</v>
      </c>
      <c r="B127" s="1914"/>
    </row>
    <row r="128" spans="1:8" s="41" customFormat="1" ht="15" thickBot="1">
      <c r="A128" s="1105"/>
    </row>
    <row r="129" spans="1:8" s="41" customFormat="1" ht="15" customHeight="1">
      <c r="A129" s="1911" t="s">
        <v>832</v>
      </c>
      <c r="B129" s="1912"/>
      <c r="C129" s="1912"/>
      <c r="D129" s="1912"/>
      <c r="E129" s="1912"/>
      <c r="F129" s="1912"/>
      <c r="G129" s="1912"/>
      <c r="H129" s="1912"/>
    </row>
    <row r="130" spans="1:8" s="41" customFormat="1" ht="15" customHeight="1">
      <c r="A130" s="1913" t="s">
        <v>833</v>
      </c>
      <c r="B130" s="1915" t="s">
        <v>2</v>
      </c>
      <c r="C130" s="1110" t="s">
        <v>16</v>
      </c>
      <c r="D130" s="1110" t="s">
        <v>82</v>
      </c>
      <c r="E130" s="1915" t="s">
        <v>3</v>
      </c>
      <c r="F130" s="1110" t="s">
        <v>84</v>
      </c>
      <c r="G130" s="1915" t="s">
        <v>85</v>
      </c>
      <c r="H130" s="1915"/>
    </row>
    <row r="131" spans="1:8" s="41" customFormat="1" ht="15" customHeight="1">
      <c r="A131" s="1913"/>
      <c r="B131" s="1915"/>
      <c r="C131" s="1110" t="s">
        <v>2</v>
      </c>
      <c r="D131" s="1110" t="s">
        <v>83</v>
      </c>
      <c r="E131" s="1915"/>
      <c r="F131" s="1110" t="s">
        <v>3</v>
      </c>
      <c r="G131" s="1915" t="s">
        <v>86</v>
      </c>
      <c r="H131" s="1915"/>
    </row>
    <row r="132" spans="1:8" s="41" customFormat="1">
      <c r="A132" s="1106">
        <v>0</v>
      </c>
      <c r="B132" s="1107">
        <v>966</v>
      </c>
      <c r="C132" s="1107">
        <v>251956</v>
      </c>
      <c r="D132" s="1107">
        <v>3389</v>
      </c>
      <c r="E132" s="1107">
        <v>89.579899999999995</v>
      </c>
      <c r="F132" s="1107">
        <v>0.97399999999999998</v>
      </c>
      <c r="G132" s="1107">
        <v>87.976500000000001</v>
      </c>
      <c r="H132" s="1107">
        <v>91.183199999999999</v>
      </c>
    </row>
    <row r="133" spans="1:8" s="41" customFormat="1">
      <c r="A133" s="1106">
        <v>1</v>
      </c>
      <c r="B133" s="1107">
        <v>132</v>
      </c>
      <c r="C133" s="1107">
        <v>28985</v>
      </c>
      <c r="D133" s="1107">
        <v>2761</v>
      </c>
      <c r="E133" s="1107">
        <v>10.305099999999999</v>
      </c>
      <c r="F133" s="1107">
        <v>0.97260000000000002</v>
      </c>
      <c r="G133" s="1107">
        <v>8.7040000000000006</v>
      </c>
      <c r="H133" s="1107">
        <v>11.9062</v>
      </c>
    </row>
    <row r="134" spans="1:8" s="41" customFormat="1">
      <c r="A134" s="1106">
        <v>2</v>
      </c>
      <c r="B134" s="1107">
        <v>4</v>
      </c>
      <c r="C134" s="1107">
        <v>323.54545000000002</v>
      </c>
      <c r="D134" s="1107">
        <v>168.24243999999999</v>
      </c>
      <c r="E134" s="1107">
        <v>0.115</v>
      </c>
      <c r="F134" s="1107">
        <v>0.06</v>
      </c>
      <c r="G134" s="1107">
        <v>1.6299999999999999E-2</v>
      </c>
      <c r="H134" s="1107">
        <v>0.2137</v>
      </c>
    </row>
    <row r="135" spans="1:8" s="41" customFormat="1">
      <c r="A135" s="1106" t="s">
        <v>5</v>
      </c>
      <c r="B135" s="1107">
        <v>1102</v>
      </c>
      <c r="C135" s="1107">
        <v>281264</v>
      </c>
      <c r="D135" s="1107">
        <v>2389</v>
      </c>
      <c r="E135" s="1107">
        <v>100</v>
      </c>
      <c r="F135" s="1107"/>
      <c r="G135" s="1107"/>
      <c r="H135" s="1107"/>
    </row>
    <row r="136" spans="1:8" s="41" customFormat="1" ht="15" thickBot="1">
      <c r="A136" s="1105"/>
    </row>
    <row r="137" spans="1:8" s="41" customFormat="1" ht="15" customHeight="1">
      <c r="A137" s="1911" t="s">
        <v>6</v>
      </c>
      <c r="B137" s="1912"/>
    </row>
    <row r="138" spans="1:8" s="41" customFormat="1" ht="27.6">
      <c r="A138" s="1106" t="s">
        <v>7</v>
      </c>
      <c r="B138" s="1107">
        <v>1586.029</v>
      </c>
    </row>
    <row r="139" spans="1:8" s="41" customFormat="1" ht="27.6">
      <c r="A139" s="1106" t="s">
        <v>8</v>
      </c>
      <c r="B139" s="1107">
        <v>0.73560000000000003</v>
      </c>
    </row>
    <row r="140" spans="1:8" s="41" customFormat="1">
      <c r="A140" s="1106"/>
      <c r="B140" s="1107"/>
    </row>
    <row r="141" spans="1:8" s="41" customFormat="1" ht="27.6">
      <c r="A141" s="1106" t="s">
        <v>9</v>
      </c>
      <c r="B141" s="1107">
        <v>2156.0682999999999</v>
      </c>
    </row>
    <row r="142" spans="1:8" s="41" customFormat="1">
      <c r="A142" s="1106" t="s">
        <v>10</v>
      </c>
      <c r="B142" s="1107">
        <v>2</v>
      </c>
    </row>
    <row r="143" spans="1:8" s="41" customFormat="1">
      <c r="A143" s="1106" t="s">
        <v>11</v>
      </c>
      <c r="B143" s="1107" t="s">
        <v>42</v>
      </c>
    </row>
    <row r="144" spans="1:8" s="41" customFormat="1">
      <c r="A144" s="1106"/>
      <c r="B144" s="1107"/>
    </row>
    <row r="145" spans="1:2" s="41" customFormat="1">
      <c r="A145" s="1106" t="s">
        <v>12</v>
      </c>
      <c r="B145" s="1107">
        <v>1078.0341000000001</v>
      </c>
    </row>
    <row r="146" spans="1:2" s="41" customFormat="1">
      <c r="A146" s="1106" t="s">
        <v>13</v>
      </c>
      <c r="B146" s="1107">
        <v>2</v>
      </c>
    </row>
    <row r="147" spans="1:2" s="41" customFormat="1">
      <c r="A147" s="1106" t="s">
        <v>14</v>
      </c>
      <c r="B147" s="1107">
        <v>2202</v>
      </c>
    </row>
    <row r="148" spans="1:2" s="41" customFormat="1">
      <c r="A148" s="1106" t="s">
        <v>15</v>
      </c>
      <c r="B148" s="1107" t="s">
        <v>42</v>
      </c>
    </row>
    <row r="149" spans="1:2" s="41" customFormat="1" ht="15" customHeight="1">
      <c r="A149" s="1913" t="s">
        <v>827</v>
      </c>
      <c r="B149" s="1914"/>
    </row>
    <row r="150" spans="1:2" s="41" customFormat="1"/>
    <row r="151" spans="1:2" s="41" customFormat="1"/>
    <row r="152" spans="1:2" s="41" customFormat="1"/>
    <row r="153" spans="1:2" s="41" customFormat="1"/>
    <row r="154" spans="1:2" s="41" customFormat="1"/>
    <row r="155" spans="1:2" s="41" customFormat="1"/>
    <row r="156" spans="1:2" s="41" customFormat="1"/>
    <row r="157" spans="1:2" s="41" customFormat="1"/>
    <row r="158" spans="1:2" s="41" customFormat="1"/>
    <row r="159" spans="1:2" s="41" customFormat="1"/>
    <row r="160" spans="1:2" s="41" customFormat="1"/>
    <row r="161" spans="1:2" s="41" customFormat="1"/>
    <row r="162" spans="1:2" s="41" customFormat="1"/>
    <row r="163" spans="1:2" s="41" customFormat="1"/>
    <row r="164" spans="1:2" s="41" customFormat="1"/>
    <row r="165" spans="1:2" s="41" customFormat="1"/>
    <row r="166" spans="1:2" s="41" customFormat="1"/>
    <row r="167" spans="1:2" s="41" customFormat="1"/>
    <row r="168" spans="1:2" s="41" customFormat="1"/>
    <row r="169" spans="1:2" s="41" customFormat="1"/>
    <row r="170" spans="1:2" s="41" customFormat="1"/>
    <row r="174" spans="1:2">
      <c r="A174" s="77" t="s">
        <v>834</v>
      </c>
    </row>
    <row r="175" spans="1:2" ht="15" thickBot="1">
      <c r="A175" s="78"/>
    </row>
    <row r="176" spans="1:2" ht="15" customHeight="1">
      <c r="A176" s="1848" t="s">
        <v>33</v>
      </c>
      <c r="B176" s="1849"/>
    </row>
    <row r="177" spans="1:15" ht="27.6">
      <c r="A177" s="1042" t="s">
        <v>34</v>
      </c>
      <c r="B177" s="918">
        <v>247</v>
      </c>
    </row>
    <row r="178" spans="1:15">
      <c r="A178" s="1042" t="s">
        <v>35</v>
      </c>
      <c r="B178" s="918">
        <v>58856.752099999998</v>
      </c>
    </row>
    <row r="179" spans="1:15" ht="15" thickBot="1">
      <c r="A179" s="78"/>
    </row>
    <row r="180" spans="1:15" ht="15" customHeight="1">
      <c r="A180" s="1848" t="s">
        <v>816</v>
      </c>
      <c r="B180" s="1849"/>
      <c r="C180" s="1849"/>
      <c r="D180" s="1849"/>
      <c r="E180" s="1849"/>
      <c r="F180" s="1849"/>
      <c r="G180" s="1849"/>
      <c r="H180" s="1849"/>
      <c r="K180" s="1041" t="s">
        <v>0</v>
      </c>
      <c r="L180" s="1041" t="s">
        <v>835</v>
      </c>
      <c r="M180" s="1041" t="s">
        <v>813</v>
      </c>
      <c r="N180" s="1041" t="s">
        <v>814</v>
      </c>
      <c r="O180" s="1041" t="s">
        <v>815</v>
      </c>
    </row>
    <row r="181" spans="1:15" ht="15" customHeight="1">
      <c r="A181" s="1845" t="s">
        <v>818</v>
      </c>
      <c r="B181" s="1846" t="s">
        <v>2</v>
      </c>
      <c r="C181" s="1043" t="s">
        <v>16</v>
      </c>
      <c r="D181" s="1043" t="s">
        <v>82</v>
      </c>
      <c r="E181" s="1846" t="s">
        <v>3</v>
      </c>
      <c r="F181" s="1043" t="s">
        <v>84</v>
      </c>
      <c r="G181" s="1846" t="s">
        <v>85</v>
      </c>
      <c r="H181" s="1846"/>
      <c r="K181" s="1784" t="s">
        <v>17</v>
      </c>
      <c r="L181" s="1041" t="s">
        <v>101</v>
      </c>
      <c r="M181" s="660">
        <f>C184+(C185*A185)</f>
        <v>55990</v>
      </c>
      <c r="N181" s="660">
        <f>C192+(C193*A193)</f>
        <v>54894</v>
      </c>
      <c r="O181" s="662">
        <f t="shared" ref="O181:O186" si="7">N181/M181</f>
        <v>0.98042507590641181</v>
      </c>
    </row>
    <row r="182" spans="1:15" ht="15" customHeight="1">
      <c r="A182" s="1845"/>
      <c r="B182" s="1846"/>
      <c r="C182" s="1043" t="s">
        <v>2</v>
      </c>
      <c r="D182" s="1043" t="s">
        <v>83</v>
      </c>
      <c r="E182" s="1846"/>
      <c r="F182" s="1043" t="s">
        <v>3</v>
      </c>
      <c r="G182" s="1846" t="s">
        <v>86</v>
      </c>
      <c r="H182" s="1846"/>
      <c r="K182" s="1784"/>
      <c r="L182" s="1041" t="s">
        <v>25</v>
      </c>
      <c r="M182" s="660">
        <f>C200+(C201*A201)</f>
        <v>7073.1428599999999</v>
      </c>
      <c r="N182" s="660">
        <f>C208+C209+C209</f>
        <v>7644.1428599999999</v>
      </c>
      <c r="O182" s="662">
        <f t="shared" si="7"/>
        <v>1.0807279043138116</v>
      </c>
    </row>
    <row r="183" spans="1:15">
      <c r="A183" s="1042">
        <v>0</v>
      </c>
      <c r="B183" s="918">
        <v>25</v>
      </c>
      <c r="C183" s="918">
        <v>5757</v>
      </c>
      <c r="D183" s="918">
        <v>1126</v>
      </c>
      <c r="E183" s="918">
        <v>9.7805999999999997</v>
      </c>
      <c r="F183" s="918">
        <v>1.9125000000000001</v>
      </c>
      <c r="G183" s="918">
        <v>6.6230000000000002</v>
      </c>
      <c r="H183" s="918">
        <v>12.9383</v>
      </c>
      <c r="K183" s="1784" t="s">
        <v>18</v>
      </c>
      <c r="L183" s="1041" t="s">
        <v>101</v>
      </c>
      <c r="M183" s="660">
        <f>C229+C230+C230</f>
        <v>178551</v>
      </c>
      <c r="N183" s="660">
        <f>C237+C238+C238</f>
        <v>175899</v>
      </c>
      <c r="O183" s="662">
        <f t="shared" si="7"/>
        <v>0.98514710082833479</v>
      </c>
    </row>
    <row r="184" spans="1:15">
      <c r="A184" s="1042">
        <v>1</v>
      </c>
      <c r="B184" s="918">
        <v>204</v>
      </c>
      <c r="C184" s="918">
        <v>50210</v>
      </c>
      <c r="D184" s="918">
        <v>1516</v>
      </c>
      <c r="E184" s="918">
        <v>85.309299999999993</v>
      </c>
      <c r="F184" s="918">
        <v>2.2019000000000002</v>
      </c>
      <c r="G184" s="918">
        <v>81.6738</v>
      </c>
      <c r="H184" s="918">
        <v>88.944800000000001</v>
      </c>
      <c r="K184" s="1784"/>
      <c r="L184" s="1041" t="s">
        <v>25</v>
      </c>
      <c r="M184" s="660">
        <f>C245+C246+C246</f>
        <v>16944.090900000003</v>
      </c>
      <c r="N184" s="660">
        <f>C253+C254+C254</f>
        <v>17069.090900000003</v>
      </c>
      <c r="O184" s="662">
        <f t="shared" si="7"/>
        <v>1.0073772031050661</v>
      </c>
    </row>
    <row r="185" spans="1:15">
      <c r="A185" s="1042">
        <v>2</v>
      </c>
      <c r="B185" s="918">
        <v>18</v>
      </c>
      <c r="C185" s="918">
        <v>2890</v>
      </c>
      <c r="D185" s="918">
        <v>706.30295000000001</v>
      </c>
      <c r="E185" s="918">
        <v>4.91</v>
      </c>
      <c r="F185" s="918">
        <v>1.2198</v>
      </c>
      <c r="G185" s="918">
        <v>2.8961000000000001</v>
      </c>
      <c r="H185" s="918">
        <v>6.9238999999999997</v>
      </c>
      <c r="K185" s="1784" t="s">
        <v>4</v>
      </c>
      <c r="L185" s="1041" t="s">
        <v>101</v>
      </c>
      <c r="M185" s="660">
        <f>C274+C275+C275</f>
        <v>40064</v>
      </c>
      <c r="N185" s="660">
        <f>C282+C283+C283</f>
        <v>39586</v>
      </c>
      <c r="O185" s="662">
        <f t="shared" si="7"/>
        <v>0.988069089456869</v>
      </c>
    </row>
    <row r="186" spans="1:15">
      <c r="A186" s="1042" t="s">
        <v>5</v>
      </c>
      <c r="B186" s="918">
        <v>247</v>
      </c>
      <c r="C186" s="918">
        <v>58857</v>
      </c>
      <c r="D186" s="918">
        <v>632.77047000000005</v>
      </c>
      <c r="E186" s="918">
        <v>100</v>
      </c>
      <c r="F186" s="918"/>
      <c r="G186" s="918"/>
      <c r="H186" s="918"/>
      <c r="K186" s="1784"/>
      <c r="L186" s="1041" t="s">
        <v>25</v>
      </c>
      <c r="M186" s="660">
        <f>C290+C291+C291</f>
        <v>4918.8571400000001</v>
      </c>
      <c r="N186" s="660">
        <f>C298+C299+C299</f>
        <v>4918.8571400000001</v>
      </c>
      <c r="O186" s="662">
        <f t="shared" si="7"/>
        <v>1</v>
      </c>
    </row>
    <row r="187" spans="1:15" ht="15" thickBot="1">
      <c r="A187" s="78"/>
    </row>
    <row r="188" spans="1:15" ht="15" customHeight="1">
      <c r="A188" s="1848" t="s">
        <v>828</v>
      </c>
      <c r="B188" s="1849"/>
      <c r="C188" s="1849"/>
      <c r="D188" s="1849"/>
      <c r="E188" s="1849"/>
      <c r="F188" s="1849"/>
      <c r="G188" s="1849"/>
      <c r="H188" s="1849"/>
    </row>
    <row r="189" spans="1:15" ht="15" customHeight="1">
      <c r="A189" s="1845" t="s">
        <v>829</v>
      </c>
      <c r="B189" s="1846" t="s">
        <v>2</v>
      </c>
      <c r="C189" s="1043" t="s">
        <v>16</v>
      </c>
      <c r="D189" s="1043" t="s">
        <v>82</v>
      </c>
      <c r="E189" s="1846" t="s">
        <v>3</v>
      </c>
      <c r="F189" s="1043" t="s">
        <v>84</v>
      </c>
      <c r="G189" s="1846" t="s">
        <v>85</v>
      </c>
      <c r="H189" s="1846"/>
    </row>
    <row r="190" spans="1:15" ht="15" customHeight="1">
      <c r="A190" s="1845"/>
      <c r="B190" s="1846"/>
      <c r="C190" s="1043" t="s">
        <v>2</v>
      </c>
      <c r="D190" s="1043" t="s">
        <v>83</v>
      </c>
      <c r="E190" s="1846"/>
      <c r="F190" s="1043" t="s">
        <v>3</v>
      </c>
      <c r="G190" s="1846" t="s">
        <v>86</v>
      </c>
      <c r="H190" s="1846"/>
    </row>
    <row r="191" spans="1:15">
      <c r="A191" s="1042">
        <v>0</v>
      </c>
      <c r="B191" s="918">
        <v>27</v>
      </c>
      <c r="C191" s="918">
        <v>6129</v>
      </c>
      <c r="D191" s="918">
        <v>1152</v>
      </c>
      <c r="E191" s="918">
        <v>10.413</v>
      </c>
      <c r="F191" s="918">
        <v>1.9587000000000001</v>
      </c>
      <c r="G191" s="918">
        <v>7.1791</v>
      </c>
      <c r="H191" s="918">
        <v>13.6469</v>
      </c>
    </row>
    <row r="192" spans="1:15">
      <c r="A192" s="1042">
        <v>1</v>
      </c>
      <c r="B192" s="918">
        <v>206</v>
      </c>
      <c r="C192" s="918">
        <v>50562</v>
      </c>
      <c r="D192" s="918">
        <v>1491</v>
      </c>
      <c r="E192" s="918">
        <v>85.906599999999997</v>
      </c>
      <c r="F192" s="918">
        <v>2.1678999999999999</v>
      </c>
      <c r="G192" s="918">
        <v>82.327200000000005</v>
      </c>
      <c r="H192" s="918">
        <v>89.486000000000004</v>
      </c>
    </row>
    <row r="193" spans="1:15">
      <c r="A193" s="1042">
        <v>2</v>
      </c>
      <c r="B193" s="918">
        <v>14</v>
      </c>
      <c r="C193" s="918">
        <v>2166</v>
      </c>
      <c r="D193" s="918">
        <v>606.05831999999998</v>
      </c>
      <c r="E193" s="918">
        <v>3.6804000000000001</v>
      </c>
      <c r="F193" s="918">
        <v>1.044</v>
      </c>
      <c r="G193" s="918">
        <v>1.9567000000000001</v>
      </c>
      <c r="H193" s="918">
        <v>5.4040999999999997</v>
      </c>
    </row>
    <row r="194" spans="1:15">
      <c r="A194" s="1042" t="s">
        <v>5</v>
      </c>
      <c r="B194" s="918">
        <v>247</v>
      </c>
      <c r="C194" s="918">
        <v>58857</v>
      </c>
      <c r="D194" s="918">
        <v>632.77047000000005</v>
      </c>
      <c r="E194" s="918">
        <v>100</v>
      </c>
      <c r="F194" s="918"/>
      <c r="G194" s="918"/>
      <c r="H194" s="918"/>
    </row>
    <row r="195" spans="1:15" ht="15" thickBot="1">
      <c r="A195" s="78"/>
    </row>
    <row r="196" spans="1:15" ht="15" customHeight="1">
      <c r="A196" s="1848" t="s">
        <v>830</v>
      </c>
      <c r="B196" s="1849"/>
      <c r="C196" s="1849"/>
      <c r="D196" s="1849"/>
      <c r="E196" s="1849"/>
      <c r="F196" s="1849"/>
      <c r="G196" s="1849"/>
      <c r="H196" s="1849"/>
    </row>
    <row r="197" spans="1:15" ht="15" customHeight="1">
      <c r="A197" s="1845" t="s">
        <v>831</v>
      </c>
      <c r="B197" s="1846" t="s">
        <v>2</v>
      </c>
      <c r="C197" s="1043" t="s">
        <v>16</v>
      </c>
      <c r="D197" s="1043" t="s">
        <v>82</v>
      </c>
      <c r="E197" s="1846" t="s">
        <v>3</v>
      </c>
      <c r="F197" s="1043" t="s">
        <v>84</v>
      </c>
      <c r="G197" s="1846" t="s">
        <v>85</v>
      </c>
      <c r="H197" s="1846"/>
    </row>
    <row r="198" spans="1:15" ht="15" customHeight="1">
      <c r="A198" s="1845"/>
      <c r="B198" s="1846"/>
      <c r="C198" s="1043" t="s">
        <v>2</v>
      </c>
      <c r="D198" s="1043" t="s">
        <v>83</v>
      </c>
      <c r="E198" s="1846"/>
      <c r="F198" s="1043" t="s">
        <v>3</v>
      </c>
      <c r="G198" s="1846" t="s">
        <v>86</v>
      </c>
      <c r="H198" s="1846"/>
    </row>
    <row r="199" spans="1:15">
      <c r="A199" s="1042">
        <v>0</v>
      </c>
      <c r="B199" s="918">
        <v>214</v>
      </c>
      <c r="C199" s="918">
        <v>51976</v>
      </c>
      <c r="D199" s="918">
        <v>1382</v>
      </c>
      <c r="E199" s="918">
        <v>88.309700000000007</v>
      </c>
      <c r="F199" s="918">
        <v>2.0217000000000001</v>
      </c>
      <c r="G199" s="918">
        <v>84.971800000000002</v>
      </c>
      <c r="H199" s="918">
        <v>91.647599999999997</v>
      </c>
    </row>
    <row r="200" spans="1:15" ht="15" thickBot="1">
      <c r="A200" s="1042">
        <v>1</v>
      </c>
      <c r="B200" s="918">
        <v>31</v>
      </c>
      <c r="C200" s="918">
        <v>6688</v>
      </c>
      <c r="D200" s="918">
        <v>1179</v>
      </c>
      <c r="E200" s="918">
        <v>11.363099999999999</v>
      </c>
      <c r="F200" s="918">
        <v>2.0110000000000001</v>
      </c>
      <c r="G200" s="918">
        <v>8.0427999999999997</v>
      </c>
      <c r="H200" s="918">
        <v>14.683400000000001</v>
      </c>
    </row>
    <row r="201" spans="1:15" ht="15" thickBot="1">
      <c r="A201" s="1042">
        <v>2</v>
      </c>
      <c r="B201" s="918">
        <v>2</v>
      </c>
      <c r="C201" s="918">
        <v>192.57142999999999</v>
      </c>
      <c r="D201" s="918">
        <v>135.89152000000001</v>
      </c>
      <c r="E201" s="918">
        <v>0.32719999999999999</v>
      </c>
      <c r="F201" s="918">
        <v>0.23200000000000001</v>
      </c>
      <c r="G201" s="918">
        <v>0</v>
      </c>
      <c r="H201" s="918">
        <v>0.71030000000000004</v>
      </c>
      <c r="K201" s="525" t="s">
        <v>0</v>
      </c>
      <c r="L201" s="1113" t="s">
        <v>332</v>
      </c>
      <c r="M201" s="1113" t="s">
        <v>354</v>
      </c>
      <c r="N201" s="1113" t="s">
        <v>355</v>
      </c>
      <c r="O201" s="1113" t="s">
        <v>356</v>
      </c>
    </row>
    <row r="202" spans="1:15" ht="15" thickBot="1">
      <c r="A202" s="1042" t="s">
        <v>5</v>
      </c>
      <c r="B202" s="918">
        <v>247</v>
      </c>
      <c r="C202" s="918">
        <v>58857</v>
      </c>
      <c r="D202" s="918">
        <v>632.77047000000005</v>
      </c>
      <c r="E202" s="918">
        <v>100</v>
      </c>
      <c r="F202" s="918"/>
      <c r="G202" s="918"/>
      <c r="H202" s="918"/>
      <c r="K202" s="1908" t="s">
        <v>17</v>
      </c>
      <c r="L202" s="1114" t="s">
        <v>357</v>
      </c>
      <c r="M202" s="1099">
        <f>Program_Claims!N8</f>
        <v>55742</v>
      </c>
      <c r="N202" s="1115">
        <f>O181</f>
        <v>0.98042507590641181</v>
      </c>
      <c r="O202" s="1099">
        <f>M202*N202</f>
        <v>54650.854581175205</v>
      </c>
    </row>
    <row r="203" spans="1:15" ht="15" thickBot="1">
      <c r="A203" s="78"/>
      <c r="K203" s="1909"/>
      <c r="L203" s="1114" t="s">
        <v>358</v>
      </c>
      <c r="M203" s="1099">
        <f>Program_Claims!N9</f>
        <v>7147</v>
      </c>
      <c r="N203" s="1115">
        <f>O182</f>
        <v>1.0807279043138116</v>
      </c>
      <c r="O203" s="1099">
        <f t="shared" ref="O203:O208" si="8">M203*N203</f>
        <v>7723.9623321308118</v>
      </c>
    </row>
    <row r="204" spans="1:15" ht="15" customHeight="1" thickBot="1">
      <c r="A204" s="1848" t="s">
        <v>832</v>
      </c>
      <c r="B204" s="1849"/>
      <c r="C204" s="1849"/>
      <c r="D204" s="1849"/>
      <c r="E204" s="1849"/>
      <c r="F204" s="1849"/>
      <c r="G204" s="1849"/>
      <c r="H204" s="1849"/>
      <c r="K204" s="1910"/>
      <c r="L204" s="1114" t="s">
        <v>334</v>
      </c>
      <c r="M204" s="1099">
        <f>Program_Claims!N10</f>
        <v>815</v>
      </c>
      <c r="N204" s="1115" t="s">
        <v>130</v>
      </c>
      <c r="O204" s="1098">
        <f>M204</f>
        <v>815</v>
      </c>
    </row>
    <row r="205" spans="1:15" ht="15" customHeight="1" thickBot="1">
      <c r="A205" s="1845" t="s">
        <v>833</v>
      </c>
      <c r="B205" s="1846" t="s">
        <v>2</v>
      </c>
      <c r="C205" s="1043" t="s">
        <v>16</v>
      </c>
      <c r="D205" s="1043" t="s">
        <v>82</v>
      </c>
      <c r="E205" s="1846" t="s">
        <v>3</v>
      </c>
      <c r="F205" s="1043" t="s">
        <v>84</v>
      </c>
      <c r="G205" s="1846" t="s">
        <v>85</v>
      </c>
      <c r="H205" s="1846"/>
      <c r="K205" s="1908" t="s">
        <v>18</v>
      </c>
      <c r="L205" s="1114" t="s">
        <v>101</v>
      </c>
      <c r="M205" s="1099">
        <f>Program_Claims!N11</f>
        <v>183225</v>
      </c>
      <c r="N205" s="1115">
        <f>O183</f>
        <v>0.98514710082833479</v>
      </c>
      <c r="O205" s="1099">
        <f t="shared" si="8"/>
        <v>180503.57754927163</v>
      </c>
    </row>
    <row r="206" spans="1:15" ht="15" customHeight="1" thickBot="1">
      <c r="A206" s="1845"/>
      <c r="B206" s="1846"/>
      <c r="C206" s="1043" t="s">
        <v>2</v>
      </c>
      <c r="D206" s="1043" t="s">
        <v>83</v>
      </c>
      <c r="E206" s="1846"/>
      <c r="F206" s="1043" t="s">
        <v>3</v>
      </c>
      <c r="G206" s="1846" t="s">
        <v>86</v>
      </c>
      <c r="H206" s="1846"/>
      <c r="K206" s="1910"/>
      <c r="L206" s="1114" t="s">
        <v>25</v>
      </c>
      <c r="M206" s="1099">
        <f>Program_Claims!N12</f>
        <v>15551</v>
      </c>
      <c r="N206" s="1115">
        <f>O184</f>
        <v>1.0073772031050661</v>
      </c>
      <c r="O206" s="1099">
        <f t="shared" si="8"/>
        <v>15665.722885486883</v>
      </c>
    </row>
    <row r="207" spans="1:15" ht="15" thickBot="1">
      <c r="A207" s="1042">
        <v>0</v>
      </c>
      <c r="B207" s="918">
        <v>211</v>
      </c>
      <c r="C207" s="918">
        <v>51405</v>
      </c>
      <c r="D207" s="918">
        <v>1426</v>
      </c>
      <c r="E207" s="918">
        <v>87.339399999999998</v>
      </c>
      <c r="F207" s="918">
        <v>2.0853999999999999</v>
      </c>
      <c r="G207" s="918">
        <v>83.896199999999993</v>
      </c>
      <c r="H207" s="918">
        <v>90.782700000000006</v>
      </c>
      <c r="K207" s="1908" t="s">
        <v>4</v>
      </c>
      <c r="L207" s="1114" t="s">
        <v>101</v>
      </c>
      <c r="M207" s="1099">
        <f>Program_Claims!N13</f>
        <v>40893</v>
      </c>
      <c r="N207" s="1115">
        <f>O185</f>
        <v>0.988069089456869</v>
      </c>
      <c r="O207" s="1099">
        <f t="shared" si="8"/>
        <v>40405.109275159746</v>
      </c>
    </row>
    <row r="208" spans="1:15" ht="15" thickBot="1">
      <c r="A208" s="1042">
        <v>1</v>
      </c>
      <c r="B208" s="918">
        <v>34</v>
      </c>
      <c r="C208" s="918">
        <v>7259</v>
      </c>
      <c r="D208" s="918">
        <v>1214</v>
      </c>
      <c r="E208" s="918">
        <v>12.333399999999999</v>
      </c>
      <c r="F208" s="918">
        <v>2.0752000000000002</v>
      </c>
      <c r="G208" s="918">
        <v>8.907</v>
      </c>
      <c r="H208" s="918">
        <v>15.7597</v>
      </c>
      <c r="K208" s="1909"/>
      <c r="L208" s="1114" t="s">
        <v>25</v>
      </c>
      <c r="M208" s="1099">
        <f>Program_Claims!N14</f>
        <v>4420</v>
      </c>
      <c r="N208" s="1115">
        <f>O186</f>
        <v>1</v>
      </c>
      <c r="O208" s="1099">
        <f t="shared" si="8"/>
        <v>4420</v>
      </c>
    </row>
    <row r="209" spans="1:15" ht="15" thickBot="1">
      <c r="A209" s="1042">
        <v>2</v>
      </c>
      <c r="B209" s="918">
        <v>2</v>
      </c>
      <c r="C209" s="918">
        <v>192.57142999999999</v>
      </c>
      <c r="D209" s="918">
        <v>135.89152000000001</v>
      </c>
      <c r="E209" s="918">
        <v>0.32719999999999999</v>
      </c>
      <c r="F209" s="918">
        <v>0.23200000000000001</v>
      </c>
      <c r="G209" s="918">
        <v>0</v>
      </c>
      <c r="H209" s="918">
        <v>0.71030000000000004</v>
      </c>
      <c r="K209" s="1910"/>
      <c r="L209" s="1114" t="s">
        <v>334</v>
      </c>
      <c r="M209" s="1099">
        <f>Program_Claims!N15</f>
        <v>744</v>
      </c>
      <c r="N209" s="1115" t="s">
        <v>130</v>
      </c>
      <c r="O209" s="1098">
        <f>M209</f>
        <v>744</v>
      </c>
    </row>
    <row r="210" spans="1:15">
      <c r="A210" s="1042" t="s">
        <v>5</v>
      </c>
      <c r="B210" s="918">
        <v>247</v>
      </c>
      <c r="C210" s="918">
        <v>58857</v>
      </c>
      <c r="D210" s="918">
        <v>632.77047000000005</v>
      </c>
      <c r="E210" s="918">
        <v>100</v>
      </c>
      <c r="F210" s="918"/>
      <c r="G210" s="918"/>
      <c r="H210" s="918"/>
    </row>
    <row r="211" spans="1:15">
      <c r="A211" s="1"/>
    </row>
    <row r="212" spans="1:15">
      <c r="A212" s="1"/>
    </row>
    <row r="214" spans="1:15">
      <c r="A214" s="77"/>
    </row>
    <row r="215" spans="1:15">
      <c r="A215" s="76" t="s">
        <v>78</v>
      </c>
    </row>
    <row r="216" spans="1:15">
      <c r="A216" s="1"/>
    </row>
    <row r="217" spans="1:15">
      <c r="A217" s="77" t="s">
        <v>79</v>
      </c>
    </row>
    <row r="218" spans="1:15">
      <c r="A218" s="1"/>
    </row>
    <row r="219" spans="1:15">
      <c r="A219" s="77" t="s">
        <v>836</v>
      </c>
    </row>
    <row r="220" spans="1:15" ht="15" thickBot="1">
      <c r="A220" s="78"/>
    </row>
    <row r="221" spans="1:15" ht="15" customHeight="1">
      <c r="A221" s="1848" t="s">
        <v>33</v>
      </c>
      <c r="B221" s="1849"/>
    </row>
    <row r="222" spans="1:15" ht="27.6">
      <c r="A222" s="1042" t="s">
        <v>34</v>
      </c>
      <c r="B222" s="918">
        <v>652</v>
      </c>
    </row>
    <row r="223" spans="1:15">
      <c r="A223" s="1042" t="s">
        <v>35</v>
      </c>
      <c r="B223" s="918">
        <v>181492.82800000001</v>
      </c>
    </row>
    <row r="224" spans="1:15" ht="15" thickBot="1">
      <c r="A224" s="78"/>
    </row>
    <row r="225" spans="1:8" ht="15" customHeight="1">
      <c r="A225" s="1848" t="s">
        <v>816</v>
      </c>
      <c r="B225" s="1849"/>
      <c r="C225" s="1849"/>
      <c r="D225" s="1849"/>
      <c r="E225" s="1849"/>
      <c r="F225" s="1849"/>
      <c r="G225" s="1849"/>
      <c r="H225" s="1849"/>
    </row>
    <row r="226" spans="1:8" ht="15" customHeight="1">
      <c r="A226" s="1845" t="s">
        <v>818</v>
      </c>
      <c r="B226" s="1846" t="s">
        <v>2</v>
      </c>
      <c r="C226" s="1043" t="s">
        <v>16</v>
      </c>
      <c r="D226" s="1043" t="s">
        <v>82</v>
      </c>
      <c r="E226" s="1846" t="s">
        <v>3</v>
      </c>
      <c r="F226" s="1043" t="s">
        <v>84</v>
      </c>
      <c r="G226" s="1846" t="s">
        <v>85</v>
      </c>
      <c r="H226" s="1846"/>
    </row>
    <row r="227" spans="1:8" ht="15" customHeight="1">
      <c r="A227" s="1845"/>
      <c r="B227" s="1846"/>
      <c r="C227" s="1043" t="s">
        <v>2</v>
      </c>
      <c r="D227" s="1043" t="s">
        <v>83</v>
      </c>
      <c r="E227" s="1846"/>
      <c r="F227" s="1043" t="s">
        <v>3</v>
      </c>
      <c r="G227" s="1846" t="s">
        <v>86</v>
      </c>
      <c r="H227" s="1846"/>
    </row>
    <row r="228" spans="1:8">
      <c r="A228" s="1042">
        <v>0</v>
      </c>
      <c r="B228" s="918">
        <v>41</v>
      </c>
      <c r="C228" s="918">
        <v>11694</v>
      </c>
      <c r="D228" s="918">
        <v>1782</v>
      </c>
      <c r="E228" s="918">
        <v>6.4429999999999996</v>
      </c>
      <c r="F228" s="918">
        <v>0.98180000000000001</v>
      </c>
      <c r="G228" s="918">
        <v>4.8258000000000001</v>
      </c>
      <c r="H228" s="918">
        <v>8.0602</v>
      </c>
    </row>
    <row r="229" spans="1:8">
      <c r="A229" s="1042">
        <v>1</v>
      </c>
      <c r="B229" s="918">
        <v>561</v>
      </c>
      <c r="C229" s="918">
        <v>161047</v>
      </c>
      <c r="D229" s="918">
        <v>2874</v>
      </c>
      <c r="E229" s="918">
        <v>88.734899999999996</v>
      </c>
      <c r="F229" s="918">
        <v>1.3131999999999999</v>
      </c>
      <c r="G229" s="918">
        <v>86.571700000000007</v>
      </c>
      <c r="H229" s="918">
        <v>90.897999999999996</v>
      </c>
    </row>
    <row r="230" spans="1:8">
      <c r="A230" s="1042">
        <v>2</v>
      </c>
      <c r="B230" s="918">
        <v>50</v>
      </c>
      <c r="C230" s="918">
        <v>8752</v>
      </c>
      <c r="D230" s="918">
        <v>1714</v>
      </c>
      <c r="E230" s="918">
        <v>4.8221999999999996</v>
      </c>
      <c r="F230" s="918">
        <v>0.93620000000000003</v>
      </c>
      <c r="G230" s="918">
        <v>3.2801</v>
      </c>
      <c r="H230" s="918">
        <v>6.3642000000000003</v>
      </c>
    </row>
    <row r="231" spans="1:8">
      <c r="A231" s="1042" t="s">
        <v>5</v>
      </c>
      <c r="B231" s="918">
        <v>652</v>
      </c>
      <c r="C231" s="918">
        <v>181493</v>
      </c>
      <c r="D231" s="918">
        <v>1985</v>
      </c>
      <c r="E231" s="918">
        <v>100</v>
      </c>
      <c r="F231" s="918"/>
      <c r="G231" s="918"/>
      <c r="H231" s="918"/>
    </row>
    <row r="232" spans="1:8" ht="15" thickBot="1">
      <c r="A232" s="78"/>
    </row>
    <row r="233" spans="1:8" ht="15" customHeight="1">
      <c r="A233" s="1848" t="s">
        <v>828</v>
      </c>
      <c r="B233" s="1849"/>
      <c r="C233" s="1849"/>
      <c r="D233" s="1849"/>
      <c r="E233" s="1849"/>
      <c r="F233" s="1849"/>
      <c r="G233" s="1849"/>
      <c r="H233" s="1849"/>
    </row>
    <row r="234" spans="1:8" ht="15" customHeight="1">
      <c r="A234" s="1845" t="s">
        <v>829</v>
      </c>
      <c r="B234" s="1846" t="s">
        <v>2</v>
      </c>
      <c r="C234" s="1043" t="s">
        <v>16</v>
      </c>
      <c r="D234" s="1043" t="s">
        <v>82</v>
      </c>
      <c r="E234" s="1846" t="s">
        <v>3</v>
      </c>
      <c r="F234" s="1043" t="s">
        <v>84</v>
      </c>
      <c r="G234" s="1846" t="s">
        <v>85</v>
      </c>
      <c r="H234" s="1846"/>
    </row>
    <row r="235" spans="1:8" ht="15" customHeight="1">
      <c r="A235" s="1845"/>
      <c r="B235" s="1846"/>
      <c r="C235" s="1043" t="s">
        <v>2</v>
      </c>
      <c r="D235" s="1043" t="s">
        <v>83</v>
      </c>
      <c r="E235" s="1846"/>
      <c r="F235" s="1043" t="s">
        <v>3</v>
      </c>
      <c r="G235" s="1846" t="s">
        <v>86</v>
      </c>
      <c r="H235" s="1846"/>
    </row>
    <row r="236" spans="1:8">
      <c r="A236" s="1042">
        <v>0</v>
      </c>
      <c r="B236" s="918">
        <v>42</v>
      </c>
      <c r="C236" s="918">
        <v>11973</v>
      </c>
      <c r="D236" s="918">
        <v>1801</v>
      </c>
      <c r="E236" s="918">
        <v>6.5971000000000002</v>
      </c>
      <c r="F236" s="918">
        <v>0.99229999999999996</v>
      </c>
      <c r="G236" s="918">
        <v>4.9625000000000004</v>
      </c>
      <c r="H236" s="918">
        <v>8.2317</v>
      </c>
    </row>
    <row r="237" spans="1:8">
      <c r="A237" s="1042">
        <v>1</v>
      </c>
      <c r="B237" s="918">
        <v>567</v>
      </c>
      <c r="C237" s="918">
        <v>163141</v>
      </c>
      <c r="D237" s="918">
        <v>3017</v>
      </c>
      <c r="E237" s="918">
        <v>89.888199999999998</v>
      </c>
      <c r="F237" s="918">
        <v>1.1281000000000001</v>
      </c>
      <c r="G237" s="918">
        <v>88.029899999999998</v>
      </c>
      <c r="H237" s="918">
        <v>91.746499999999997</v>
      </c>
    </row>
    <row r="238" spans="1:8">
      <c r="A238" s="1042">
        <v>2</v>
      </c>
      <c r="B238" s="918">
        <v>43</v>
      </c>
      <c r="C238" s="918">
        <v>6379</v>
      </c>
      <c r="D238" s="918">
        <v>1015</v>
      </c>
      <c r="E238" s="918">
        <v>3.5146999999999999</v>
      </c>
      <c r="F238" s="918">
        <v>0.57340000000000002</v>
      </c>
      <c r="G238" s="918">
        <v>2.5701000000000001</v>
      </c>
      <c r="H238" s="918">
        <v>4.4592000000000001</v>
      </c>
    </row>
    <row r="239" spans="1:8">
      <c r="A239" s="1042" t="s">
        <v>5</v>
      </c>
      <c r="B239" s="918">
        <v>652</v>
      </c>
      <c r="C239" s="918">
        <v>181493</v>
      </c>
      <c r="D239" s="918">
        <v>1985</v>
      </c>
      <c r="E239" s="918">
        <v>100</v>
      </c>
      <c r="F239" s="918"/>
      <c r="G239" s="918"/>
      <c r="H239" s="918"/>
    </row>
    <row r="240" spans="1:8" ht="15" thickBot="1">
      <c r="A240" s="78"/>
    </row>
    <row r="241" spans="1:8" ht="15" customHeight="1">
      <c r="A241" s="1848" t="s">
        <v>830</v>
      </c>
      <c r="B241" s="1849"/>
      <c r="C241" s="1849"/>
      <c r="D241" s="1849"/>
      <c r="E241" s="1849"/>
      <c r="F241" s="1849"/>
      <c r="G241" s="1849"/>
      <c r="H241" s="1849"/>
    </row>
    <row r="242" spans="1:8" ht="15" customHeight="1">
      <c r="A242" s="1845" t="s">
        <v>831</v>
      </c>
      <c r="B242" s="1846" t="s">
        <v>2</v>
      </c>
      <c r="C242" s="1043" t="s">
        <v>16</v>
      </c>
      <c r="D242" s="1043" t="s">
        <v>82</v>
      </c>
      <c r="E242" s="1846" t="s">
        <v>3</v>
      </c>
      <c r="F242" s="1043" t="s">
        <v>84</v>
      </c>
      <c r="G242" s="1846" t="s">
        <v>85</v>
      </c>
      <c r="H242" s="1846"/>
    </row>
    <row r="243" spans="1:8" ht="15" customHeight="1">
      <c r="A243" s="1845"/>
      <c r="B243" s="1846"/>
      <c r="C243" s="1043" t="s">
        <v>2</v>
      </c>
      <c r="D243" s="1043" t="s">
        <v>83</v>
      </c>
      <c r="E243" s="1846"/>
      <c r="F243" s="1043" t="s">
        <v>3</v>
      </c>
      <c r="G243" s="1846" t="s">
        <v>86</v>
      </c>
      <c r="H243" s="1846"/>
    </row>
    <row r="244" spans="1:8">
      <c r="A244" s="1042">
        <v>0</v>
      </c>
      <c r="B244" s="918">
        <v>582</v>
      </c>
      <c r="C244" s="918">
        <v>164639</v>
      </c>
      <c r="D244" s="918">
        <v>2677</v>
      </c>
      <c r="E244" s="918">
        <v>90.713800000000006</v>
      </c>
      <c r="F244" s="918">
        <v>1.2490000000000001</v>
      </c>
      <c r="G244" s="918">
        <v>88.656499999999994</v>
      </c>
      <c r="H244" s="918">
        <v>92.771199999999993</v>
      </c>
    </row>
    <row r="245" spans="1:8">
      <c r="A245" s="1042">
        <v>1</v>
      </c>
      <c r="B245" s="918">
        <v>69</v>
      </c>
      <c r="C245" s="918">
        <v>16763</v>
      </c>
      <c r="D245" s="918">
        <v>2301</v>
      </c>
      <c r="E245" s="918">
        <v>9.2363</v>
      </c>
      <c r="F245" s="918">
        <v>1.2483</v>
      </c>
      <c r="G245" s="918">
        <v>7.1802000000000001</v>
      </c>
      <c r="H245" s="918">
        <v>11.292400000000001</v>
      </c>
    </row>
    <row r="246" spans="1:8">
      <c r="A246" s="1042">
        <v>2</v>
      </c>
      <c r="B246" s="918">
        <v>1</v>
      </c>
      <c r="C246" s="918">
        <v>90.545450000000002</v>
      </c>
      <c r="D246" s="918">
        <v>90.545450000000002</v>
      </c>
      <c r="E246" s="918">
        <v>4.99E-2</v>
      </c>
      <c r="F246" s="918">
        <v>4.99E-2</v>
      </c>
      <c r="G246" s="918">
        <v>0</v>
      </c>
      <c r="H246" s="918">
        <v>0.13220000000000001</v>
      </c>
    </row>
    <row r="247" spans="1:8">
      <c r="A247" s="1042" t="s">
        <v>5</v>
      </c>
      <c r="B247" s="918">
        <v>652</v>
      </c>
      <c r="C247" s="918">
        <v>181493</v>
      </c>
      <c r="D247" s="918">
        <v>1985</v>
      </c>
      <c r="E247" s="918">
        <v>100</v>
      </c>
      <c r="F247" s="918"/>
      <c r="G247" s="918"/>
      <c r="H247" s="918"/>
    </row>
    <row r="248" spans="1:8" ht="15" thickBot="1">
      <c r="A248" s="78"/>
    </row>
    <row r="249" spans="1:8" ht="15" customHeight="1">
      <c r="A249" s="1848" t="s">
        <v>832</v>
      </c>
      <c r="B249" s="1849"/>
      <c r="C249" s="1849"/>
      <c r="D249" s="1849"/>
      <c r="E249" s="1849"/>
      <c r="F249" s="1849"/>
      <c r="G249" s="1849"/>
      <c r="H249" s="1849"/>
    </row>
    <row r="250" spans="1:8" ht="15" customHeight="1">
      <c r="A250" s="1845" t="s">
        <v>833</v>
      </c>
      <c r="B250" s="1846" t="s">
        <v>2</v>
      </c>
      <c r="C250" s="1043" t="s">
        <v>16</v>
      </c>
      <c r="D250" s="1043" t="s">
        <v>82</v>
      </c>
      <c r="E250" s="1846" t="s">
        <v>3</v>
      </c>
      <c r="F250" s="1043" t="s">
        <v>84</v>
      </c>
      <c r="G250" s="1846" t="s">
        <v>85</v>
      </c>
      <c r="H250" s="1846"/>
    </row>
    <row r="251" spans="1:8" ht="15" customHeight="1">
      <c r="A251" s="1845"/>
      <c r="B251" s="1846"/>
      <c r="C251" s="1043" t="s">
        <v>2</v>
      </c>
      <c r="D251" s="1043" t="s">
        <v>83</v>
      </c>
      <c r="E251" s="1846"/>
      <c r="F251" s="1043" t="s">
        <v>3</v>
      </c>
      <c r="G251" s="1846" t="s">
        <v>86</v>
      </c>
      <c r="H251" s="1846"/>
    </row>
    <row r="252" spans="1:8">
      <c r="A252" s="1042">
        <v>0</v>
      </c>
      <c r="B252" s="918">
        <v>582</v>
      </c>
      <c r="C252" s="918">
        <v>164515</v>
      </c>
      <c r="D252" s="918">
        <v>2679</v>
      </c>
      <c r="E252" s="918">
        <v>90.645200000000003</v>
      </c>
      <c r="F252" s="918">
        <v>1.2542</v>
      </c>
      <c r="G252" s="918">
        <v>88.579300000000003</v>
      </c>
      <c r="H252" s="918">
        <v>92.711200000000005</v>
      </c>
    </row>
    <row r="253" spans="1:8">
      <c r="A253" s="1042">
        <v>1</v>
      </c>
      <c r="B253" s="918">
        <v>69</v>
      </c>
      <c r="C253" s="918">
        <v>16888</v>
      </c>
      <c r="D253" s="918">
        <v>2311</v>
      </c>
      <c r="E253" s="918">
        <v>9.3048999999999999</v>
      </c>
      <c r="F253" s="918">
        <v>1.2535000000000001</v>
      </c>
      <c r="G253" s="918">
        <v>7.2401</v>
      </c>
      <c r="H253" s="918">
        <v>11.3696</v>
      </c>
    </row>
    <row r="254" spans="1:8">
      <c r="A254" s="1042">
        <v>2</v>
      </c>
      <c r="B254" s="918">
        <v>1</v>
      </c>
      <c r="C254" s="918">
        <v>90.545450000000002</v>
      </c>
      <c r="D254" s="918">
        <v>90.545450000000002</v>
      </c>
      <c r="E254" s="918">
        <v>4.99E-2</v>
      </c>
      <c r="F254" s="918">
        <v>4.99E-2</v>
      </c>
      <c r="G254" s="918">
        <v>0</v>
      </c>
      <c r="H254" s="918">
        <v>0.13220000000000001</v>
      </c>
    </row>
    <row r="255" spans="1:8">
      <c r="A255" s="1042" t="s">
        <v>5</v>
      </c>
      <c r="B255" s="918">
        <v>652</v>
      </c>
      <c r="C255" s="918">
        <v>181493</v>
      </c>
      <c r="D255" s="918">
        <v>1985</v>
      </c>
      <c r="E255" s="918">
        <v>100</v>
      </c>
      <c r="F255" s="918"/>
      <c r="G255" s="918"/>
      <c r="H255" s="918"/>
    </row>
    <row r="256" spans="1:8">
      <c r="A256" s="1"/>
    </row>
    <row r="257" spans="1:8">
      <c r="A257" s="1"/>
    </row>
    <row r="259" spans="1:8">
      <c r="A259" s="77"/>
    </row>
    <row r="260" spans="1:8">
      <c r="A260" s="76" t="s">
        <v>78</v>
      </c>
    </row>
    <row r="261" spans="1:8">
      <c r="A261" s="1"/>
    </row>
    <row r="262" spans="1:8">
      <c r="A262" s="77" t="s">
        <v>79</v>
      </c>
    </row>
    <row r="263" spans="1:8">
      <c r="A263" s="1"/>
    </row>
    <row r="264" spans="1:8">
      <c r="A264" s="77" t="s">
        <v>837</v>
      </c>
    </row>
    <row r="265" spans="1:8" ht="15" thickBot="1">
      <c r="A265" s="78"/>
    </row>
    <row r="266" spans="1:8" ht="15" customHeight="1">
      <c r="A266" s="1848" t="s">
        <v>33</v>
      </c>
      <c r="B266" s="1849"/>
    </row>
    <row r="267" spans="1:8" ht="27.6">
      <c r="A267" s="1042" t="s">
        <v>34</v>
      </c>
      <c r="B267" s="918">
        <v>203</v>
      </c>
    </row>
    <row r="268" spans="1:8">
      <c r="A268" s="1042" t="s">
        <v>35</v>
      </c>
      <c r="B268" s="918">
        <v>40914.023999999998</v>
      </c>
    </row>
    <row r="269" spans="1:8" ht="15" thickBot="1">
      <c r="A269" s="78"/>
    </row>
    <row r="270" spans="1:8" ht="15" customHeight="1">
      <c r="A270" s="1848" t="s">
        <v>816</v>
      </c>
      <c r="B270" s="1849"/>
      <c r="C270" s="1849"/>
      <c r="D270" s="1849"/>
      <c r="E270" s="1849"/>
      <c r="F270" s="1849"/>
      <c r="G270" s="1849"/>
      <c r="H270" s="1849"/>
    </row>
    <row r="271" spans="1:8" ht="15" customHeight="1">
      <c r="A271" s="1845" t="s">
        <v>818</v>
      </c>
      <c r="B271" s="1846" t="s">
        <v>2</v>
      </c>
      <c r="C271" s="1043" t="s">
        <v>16</v>
      </c>
      <c r="D271" s="1043" t="s">
        <v>82</v>
      </c>
      <c r="E271" s="1846" t="s">
        <v>3</v>
      </c>
      <c r="F271" s="1043" t="s">
        <v>84</v>
      </c>
      <c r="G271" s="1846" t="s">
        <v>85</v>
      </c>
      <c r="H271" s="1846"/>
    </row>
    <row r="272" spans="1:8" ht="15" customHeight="1">
      <c r="A272" s="1845"/>
      <c r="B272" s="1846"/>
      <c r="C272" s="1043" t="s">
        <v>2</v>
      </c>
      <c r="D272" s="1043" t="s">
        <v>83</v>
      </c>
      <c r="E272" s="1846"/>
      <c r="F272" s="1043" t="s">
        <v>3</v>
      </c>
      <c r="G272" s="1846" t="s">
        <v>86</v>
      </c>
      <c r="H272" s="1846"/>
    </row>
    <row r="273" spans="1:8">
      <c r="A273" s="1042">
        <v>0</v>
      </c>
      <c r="B273" s="918">
        <v>17</v>
      </c>
      <c r="C273" s="918">
        <v>3309</v>
      </c>
      <c r="D273" s="918">
        <v>815.50558999999998</v>
      </c>
      <c r="E273" s="918">
        <v>8.0886999999999993</v>
      </c>
      <c r="F273" s="918">
        <v>1.9849000000000001</v>
      </c>
      <c r="G273" s="918">
        <v>4.8087999999999997</v>
      </c>
      <c r="H273" s="918">
        <v>11.3687</v>
      </c>
    </row>
    <row r="274" spans="1:8">
      <c r="A274" s="1042">
        <v>1</v>
      </c>
      <c r="B274" s="918">
        <v>167</v>
      </c>
      <c r="C274" s="918">
        <v>35146</v>
      </c>
      <c r="D274" s="918">
        <v>1210</v>
      </c>
      <c r="E274" s="918">
        <v>85.901700000000005</v>
      </c>
      <c r="F274" s="918">
        <v>2.3738999999999999</v>
      </c>
      <c r="G274" s="918">
        <v>81.978999999999999</v>
      </c>
      <c r="H274" s="918">
        <v>89.824399999999997</v>
      </c>
    </row>
    <row r="275" spans="1:8">
      <c r="A275" s="1042">
        <v>2</v>
      </c>
      <c r="B275" s="918">
        <v>19</v>
      </c>
      <c r="C275" s="918">
        <v>2459</v>
      </c>
      <c r="D275" s="918">
        <v>570.14284999999995</v>
      </c>
      <c r="E275" s="918">
        <v>6.0095999999999998</v>
      </c>
      <c r="F275" s="918">
        <v>1.4326000000000001</v>
      </c>
      <c r="G275" s="918">
        <v>3.6421999999999999</v>
      </c>
      <c r="H275" s="918">
        <v>8.3768999999999991</v>
      </c>
    </row>
    <row r="276" spans="1:8">
      <c r="A276" s="1042" t="s">
        <v>5</v>
      </c>
      <c r="B276" s="918">
        <v>203</v>
      </c>
      <c r="C276" s="918">
        <v>40914</v>
      </c>
      <c r="D276" s="918">
        <v>605.72290999999996</v>
      </c>
      <c r="E276" s="918">
        <v>100</v>
      </c>
      <c r="F276" s="918"/>
      <c r="G276" s="918"/>
      <c r="H276" s="918"/>
    </row>
    <row r="277" spans="1:8" ht="15" thickBot="1">
      <c r="A277" s="78"/>
    </row>
    <row r="278" spans="1:8" ht="15" customHeight="1">
      <c r="A278" s="1848" t="s">
        <v>828</v>
      </c>
      <c r="B278" s="1849"/>
      <c r="C278" s="1849"/>
      <c r="D278" s="1849"/>
      <c r="E278" s="1849"/>
      <c r="F278" s="1849"/>
      <c r="G278" s="1849"/>
      <c r="H278" s="1849"/>
    </row>
    <row r="279" spans="1:8" ht="15" customHeight="1">
      <c r="A279" s="1845" t="s">
        <v>829</v>
      </c>
      <c r="B279" s="1846" t="s">
        <v>2</v>
      </c>
      <c r="C279" s="1043" t="s">
        <v>16</v>
      </c>
      <c r="D279" s="1043" t="s">
        <v>82</v>
      </c>
      <c r="E279" s="1846" t="s">
        <v>3</v>
      </c>
      <c r="F279" s="1043" t="s">
        <v>84</v>
      </c>
      <c r="G279" s="1846" t="s">
        <v>85</v>
      </c>
      <c r="H279" s="1846"/>
    </row>
    <row r="280" spans="1:8" ht="15" customHeight="1">
      <c r="A280" s="1845"/>
      <c r="B280" s="1846"/>
      <c r="C280" s="1043" t="s">
        <v>2</v>
      </c>
      <c r="D280" s="1043" t="s">
        <v>83</v>
      </c>
      <c r="E280" s="1846"/>
      <c r="F280" s="1043" t="s">
        <v>3</v>
      </c>
      <c r="G280" s="1846" t="s">
        <v>86</v>
      </c>
      <c r="H280" s="1846"/>
    </row>
    <row r="281" spans="1:8">
      <c r="A281" s="1042">
        <v>0</v>
      </c>
      <c r="B281" s="918">
        <v>17</v>
      </c>
      <c r="C281" s="918">
        <v>3309</v>
      </c>
      <c r="D281" s="918">
        <v>815.50558999999998</v>
      </c>
      <c r="E281" s="918">
        <v>8.0886999999999993</v>
      </c>
      <c r="F281" s="918">
        <v>1.9849000000000001</v>
      </c>
      <c r="G281" s="918">
        <v>4.8087999999999997</v>
      </c>
      <c r="H281" s="918">
        <v>11.3687</v>
      </c>
    </row>
    <row r="282" spans="1:8">
      <c r="A282" s="1042">
        <v>1</v>
      </c>
      <c r="B282" s="918">
        <v>171</v>
      </c>
      <c r="C282" s="918">
        <v>35622</v>
      </c>
      <c r="D282" s="918">
        <v>1166</v>
      </c>
      <c r="E282" s="918">
        <v>87.066000000000003</v>
      </c>
      <c r="F282" s="918">
        <v>2.3115999999999999</v>
      </c>
      <c r="G282" s="918">
        <v>83.246200000000002</v>
      </c>
      <c r="H282" s="918">
        <v>90.8857</v>
      </c>
    </row>
    <row r="283" spans="1:8">
      <c r="A283" s="1042">
        <v>2</v>
      </c>
      <c r="B283" s="918">
        <v>15</v>
      </c>
      <c r="C283" s="918">
        <v>1982</v>
      </c>
      <c r="D283" s="918">
        <v>522.10350000000005</v>
      </c>
      <c r="E283" s="918">
        <v>4.8452999999999999</v>
      </c>
      <c r="F283" s="918">
        <v>1.3027</v>
      </c>
      <c r="G283" s="918">
        <v>2.6926999999999999</v>
      </c>
      <c r="H283" s="918">
        <v>6.9978999999999996</v>
      </c>
    </row>
    <row r="284" spans="1:8">
      <c r="A284" s="1042" t="s">
        <v>5</v>
      </c>
      <c r="B284" s="918">
        <v>203</v>
      </c>
      <c r="C284" s="918">
        <v>40914</v>
      </c>
      <c r="D284" s="918">
        <v>605.72290999999996</v>
      </c>
      <c r="E284" s="918">
        <v>100</v>
      </c>
      <c r="F284" s="918"/>
      <c r="G284" s="918"/>
      <c r="H284" s="918"/>
    </row>
    <row r="285" spans="1:8" ht="15" thickBot="1">
      <c r="A285" s="78"/>
    </row>
    <row r="286" spans="1:8" ht="15" customHeight="1">
      <c r="A286" s="1848" t="s">
        <v>830</v>
      </c>
      <c r="B286" s="1849"/>
      <c r="C286" s="1849"/>
      <c r="D286" s="1849"/>
      <c r="E286" s="1849"/>
      <c r="F286" s="1849"/>
      <c r="G286" s="1849"/>
      <c r="H286" s="1849"/>
    </row>
    <row r="287" spans="1:8" ht="15" customHeight="1">
      <c r="A287" s="1845" t="s">
        <v>831</v>
      </c>
      <c r="B287" s="1846" t="s">
        <v>2</v>
      </c>
      <c r="C287" s="1043" t="s">
        <v>16</v>
      </c>
      <c r="D287" s="1043" t="s">
        <v>82</v>
      </c>
      <c r="E287" s="1846" t="s">
        <v>3</v>
      </c>
      <c r="F287" s="1043" t="s">
        <v>84</v>
      </c>
      <c r="G287" s="1846" t="s">
        <v>85</v>
      </c>
      <c r="H287" s="1846"/>
    </row>
    <row r="288" spans="1:8" ht="15" customHeight="1">
      <c r="A288" s="1845"/>
      <c r="B288" s="1846"/>
      <c r="C288" s="1043" t="s">
        <v>2</v>
      </c>
      <c r="D288" s="1043" t="s">
        <v>83</v>
      </c>
      <c r="E288" s="1846"/>
      <c r="F288" s="1043" t="s">
        <v>3</v>
      </c>
      <c r="G288" s="1846" t="s">
        <v>86</v>
      </c>
      <c r="H288" s="1846"/>
    </row>
    <row r="289" spans="1:8">
      <c r="A289" s="1042">
        <v>0</v>
      </c>
      <c r="B289" s="918">
        <v>173</v>
      </c>
      <c r="C289" s="918">
        <v>36036</v>
      </c>
      <c r="D289" s="918">
        <v>1136</v>
      </c>
      <c r="E289" s="918">
        <v>88.076800000000006</v>
      </c>
      <c r="F289" s="918">
        <v>2.2336999999999998</v>
      </c>
      <c r="G289" s="918">
        <v>84.3857</v>
      </c>
      <c r="H289" s="918">
        <v>91.767799999999994</v>
      </c>
    </row>
    <row r="290" spans="1:8">
      <c r="A290" s="1042">
        <v>1</v>
      </c>
      <c r="B290" s="918">
        <v>29</v>
      </c>
      <c r="C290" s="918">
        <v>4838</v>
      </c>
      <c r="D290" s="918">
        <v>904.2586</v>
      </c>
      <c r="E290" s="918">
        <v>11.824400000000001</v>
      </c>
      <c r="F290" s="918">
        <v>2.2317999999999998</v>
      </c>
      <c r="G290" s="918">
        <v>8.1365999999999996</v>
      </c>
      <c r="H290" s="918">
        <v>15.5123</v>
      </c>
    </row>
    <row r="291" spans="1:8">
      <c r="A291" s="1042">
        <v>2</v>
      </c>
      <c r="B291" s="918">
        <v>1</v>
      </c>
      <c r="C291" s="918">
        <v>40.428570000000001</v>
      </c>
      <c r="D291" s="918">
        <v>40.428570000000001</v>
      </c>
      <c r="E291" s="918">
        <v>9.8799999999999999E-2</v>
      </c>
      <c r="F291" s="918">
        <v>9.9199999999999997E-2</v>
      </c>
      <c r="G291" s="918">
        <v>0</v>
      </c>
      <c r="H291" s="918">
        <v>0.26279999999999998</v>
      </c>
    </row>
    <row r="292" spans="1:8">
      <c r="A292" s="1042" t="s">
        <v>5</v>
      </c>
      <c r="B292" s="918">
        <v>203</v>
      </c>
      <c r="C292" s="918">
        <v>40914</v>
      </c>
      <c r="D292" s="918">
        <v>605.72290999999996</v>
      </c>
      <c r="E292" s="918">
        <v>100</v>
      </c>
      <c r="F292" s="918"/>
      <c r="G292" s="918"/>
      <c r="H292" s="918"/>
    </row>
    <row r="293" spans="1:8" ht="15" thickBot="1">
      <c r="A293" s="78"/>
    </row>
    <row r="294" spans="1:8" ht="15" customHeight="1">
      <c r="A294" s="1848" t="s">
        <v>832</v>
      </c>
      <c r="B294" s="1849"/>
      <c r="C294" s="1849"/>
      <c r="D294" s="1849"/>
      <c r="E294" s="1849"/>
      <c r="F294" s="1849"/>
      <c r="G294" s="1849"/>
      <c r="H294" s="1849"/>
    </row>
    <row r="295" spans="1:8" ht="15" customHeight="1">
      <c r="A295" s="1845" t="s">
        <v>833</v>
      </c>
      <c r="B295" s="1846" t="s">
        <v>2</v>
      </c>
      <c r="C295" s="1043" t="s">
        <v>16</v>
      </c>
      <c r="D295" s="1043" t="s">
        <v>82</v>
      </c>
      <c r="E295" s="1846" t="s">
        <v>3</v>
      </c>
      <c r="F295" s="1043" t="s">
        <v>84</v>
      </c>
      <c r="G295" s="1846" t="s">
        <v>85</v>
      </c>
      <c r="H295" s="1846"/>
    </row>
    <row r="296" spans="1:8" ht="15" customHeight="1">
      <c r="A296" s="1845"/>
      <c r="B296" s="1846"/>
      <c r="C296" s="1043" t="s">
        <v>2</v>
      </c>
      <c r="D296" s="1043" t="s">
        <v>83</v>
      </c>
      <c r="E296" s="1846"/>
      <c r="F296" s="1043" t="s">
        <v>3</v>
      </c>
      <c r="G296" s="1846" t="s">
        <v>86</v>
      </c>
      <c r="H296" s="1846"/>
    </row>
    <row r="297" spans="1:8">
      <c r="A297" s="1042">
        <v>0</v>
      </c>
      <c r="B297" s="918">
        <v>173</v>
      </c>
      <c r="C297" s="918">
        <v>36036</v>
      </c>
      <c r="D297" s="918">
        <v>1136</v>
      </c>
      <c r="E297" s="918">
        <v>88.076800000000006</v>
      </c>
      <c r="F297" s="918">
        <v>2.2336999999999998</v>
      </c>
      <c r="G297" s="918">
        <v>84.3857</v>
      </c>
      <c r="H297" s="918">
        <v>91.767799999999994</v>
      </c>
    </row>
    <row r="298" spans="1:8">
      <c r="A298" s="1042">
        <v>1</v>
      </c>
      <c r="B298" s="918">
        <v>29</v>
      </c>
      <c r="C298" s="918">
        <v>4838</v>
      </c>
      <c r="D298" s="918">
        <v>904.2586</v>
      </c>
      <c r="E298" s="918">
        <v>11.824400000000001</v>
      </c>
      <c r="F298" s="918">
        <v>2.2317999999999998</v>
      </c>
      <c r="G298" s="918">
        <v>8.1365999999999996</v>
      </c>
      <c r="H298" s="918">
        <v>15.5123</v>
      </c>
    </row>
    <row r="299" spans="1:8">
      <c r="A299" s="1042">
        <v>2</v>
      </c>
      <c r="B299" s="918">
        <v>1</v>
      </c>
      <c r="C299" s="918">
        <v>40.428570000000001</v>
      </c>
      <c r="D299" s="918">
        <v>40.428570000000001</v>
      </c>
      <c r="E299" s="918">
        <v>9.8799999999999999E-2</v>
      </c>
      <c r="F299" s="918">
        <v>9.9199999999999997E-2</v>
      </c>
      <c r="G299" s="918">
        <v>0</v>
      </c>
      <c r="H299" s="918">
        <v>0.26279999999999998</v>
      </c>
    </row>
    <row r="300" spans="1:8">
      <c r="A300" s="1042" t="s">
        <v>5</v>
      </c>
      <c r="B300" s="918">
        <v>203</v>
      </c>
      <c r="C300" s="918">
        <v>40914</v>
      </c>
      <c r="D300" s="918">
        <v>605.72290999999996</v>
      </c>
      <c r="E300" s="918">
        <v>100</v>
      </c>
      <c r="F300" s="918"/>
      <c r="G300" s="918"/>
      <c r="H300" s="918"/>
    </row>
  </sheetData>
  <mergeCells count="145">
    <mergeCell ref="E42:E44"/>
    <mergeCell ref="P44:P46"/>
    <mergeCell ref="O47:O50"/>
    <mergeCell ref="P48:P50"/>
    <mergeCell ref="A59:B59"/>
    <mergeCell ref="A63:H63"/>
    <mergeCell ref="K63:L63"/>
    <mergeCell ref="F28:X31"/>
    <mergeCell ref="E36:E38"/>
    <mergeCell ref="J36:J38"/>
    <mergeCell ref="O36:O40"/>
    <mergeCell ref="P36:P37"/>
    <mergeCell ref="P38:P40"/>
    <mergeCell ref="E39:E41"/>
    <mergeCell ref="J39:J41"/>
    <mergeCell ref="O41:O46"/>
    <mergeCell ref="P41:P43"/>
    <mergeCell ref="R75:R80"/>
    <mergeCell ref="S75:S76"/>
    <mergeCell ref="S77:S78"/>
    <mergeCell ref="S79:S80"/>
    <mergeCell ref="A83:B83"/>
    <mergeCell ref="A85:H85"/>
    <mergeCell ref="X65:X66"/>
    <mergeCell ref="S67:S68"/>
    <mergeCell ref="X67:X68"/>
    <mergeCell ref="R69:R74"/>
    <mergeCell ref="S69:S70"/>
    <mergeCell ref="A71:B71"/>
    <mergeCell ref="S71:S72"/>
    <mergeCell ref="S73:S74"/>
    <mergeCell ref="R63:R68"/>
    <mergeCell ref="S63:S64"/>
    <mergeCell ref="X63:X64"/>
    <mergeCell ref="A64:A65"/>
    <mergeCell ref="B64:B65"/>
    <mergeCell ref="E64:E65"/>
    <mergeCell ref="G64:H64"/>
    <mergeCell ref="N64:O64"/>
    <mergeCell ref="G65:H65"/>
    <mergeCell ref="S65:S66"/>
    <mergeCell ref="A105:B105"/>
    <mergeCell ref="A107:H107"/>
    <mergeCell ref="A108:A109"/>
    <mergeCell ref="B108:B109"/>
    <mergeCell ref="E108:E109"/>
    <mergeCell ref="G108:H108"/>
    <mergeCell ref="G109:H109"/>
    <mergeCell ref="A86:A87"/>
    <mergeCell ref="B86:B87"/>
    <mergeCell ref="E86:E87"/>
    <mergeCell ref="G86:H86"/>
    <mergeCell ref="G87:H87"/>
    <mergeCell ref="A93:B93"/>
    <mergeCell ref="A137:B137"/>
    <mergeCell ref="A149:B149"/>
    <mergeCell ref="A176:B176"/>
    <mergeCell ref="A180:H180"/>
    <mergeCell ref="A181:A182"/>
    <mergeCell ref="B181:B182"/>
    <mergeCell ref="E181:E182"/>
    <mergeCell ref="G181:H181"/>
    <mergeCell ref="A115:B115"/>
    <mergeCell ref="A127:B127"/>
    <mergeCell ref="A129:H129"/>
    <mergeCell ref="A130:A131"/>
    <mergeCell ref="B130:B131"/>
    <mergeCell ref="E130:E131"/>
    <mergeCell ref="G130:H130"/>
    <mergeCell ref="G131:H131"/>
    <mergeCell ref="K181:K182"/>
    <mergeCell ref="G182:H182"/>
    <mergeCell ref="K183:K184"/>
    <mergeCell ref="K185:K186"/>
    <mergeCell ref="A188:H188"/>
    <mergeCell ref="A189:A190"/>
    <mergeCell ref="B189:B190"/>
    <mergeCell ref="E189:E190"/>
    <mergeCell ref="G189:H189"/>
    <mergeCell ref="G190:H190"/>
    <mergeCell ref="K202:K204"/>
    <mergeCell ref="A204:H204"/>
    <mergeCell ref="A205:A206"/>
    <mergeCell ref="B205:B206"/>
    <mergeCell ref="E205:E206"/>
    <mergeCell ref="G205:H205"/>
    <mergeCell ref="K205:K206"/>
    <mergeCell ref="G206:H206"/>
    <mergeCell ref="A196:H196"/>
    <mergeCell ref="A197:A198"/>
    <mergeCell ref="B197:B198"/>
    <mergeCell ref="E197:E198"/>
    <mergeCell ref="G197:H197"/>
    <mergeCell ref="G198:H198"/>
    <mergeCell ref="A233:H233"/>
    <mergeCell ref="A234:A235"/>
    <mergeCell ref="B234:B235"/>
    <mergeCell ref="E234:E235"/>
    <mergeCell ref="G234:H234"/>
    <mergeCell ref="G235:H235"/>
    <mergeCell ref="K207:K209"/>
    <mergeCell ref="A221:B221"/>
    <mergeCell ref="A225:H225"/>
    <mergeCell ref="A226:A227"/>
    <mergeCell ref="B226:B227"/>
    <mergeCell ref="E226:E227"/>
    <mergeCell ref="G226:H226"/>
    <mergeCell ref="G227:H227"/>
    <mergeCell ref="A249:H249"/>
    <mergeCell ref="A250:A251"/>
    <mergeCell ref="B250:B251"/>
    <mergeCell ref="E250:E251"/>
    <mergeCell ref="G250:H250"/>
    <mergeCell ref="G251:H251"/>
    <mergeCell ref="A241:H241"/>
    <mergeCell ref="A242:A243"/>
    <mergeCell ref="B242:B243"/>
    <mergeCell ref="E242:E243"/>
    <mergeCell ref="G242:H242"/>
    <mergeCell ref="G243:H243"/>
    <mergeCell ref="A278:H278"/>
    <mergeCell ref="A279:A280"/>
    <mergeCell ref="B279:B280"/>
    <mergeCell ref="E279:E280"/>
    <mergeCell ref="G279:H279"/>
    <mergeCell ref="G280:H280"/>
    <mergeCell ref="A266:B266"/>
    <mergeCell ref="A270:H270"/>
    <mergeCell ref="A271:A272"/>
    <mergeCell ref="B271:B272"/>
    <mergeCell ref="E271:E272"/>
    <mergeCell ref="G271:H271"/>
    <mergeCell ref="G272:H272"/>
    <mergeCell ref="A294:H294"/>
    <mergeCell ref="A295:A296"/>
    <mergeCell ref="B295:B296"/>
    <mergeCell ref="E295:E296"/>
    <mergeCell ref="G295:H295"/>
    <mergeCell ref="G296:H296"/>
    <mergeCell ref="A286:H286"/>
    <mergeCell ref="A287:A288"/>
    <mergeCell ref="B287:B288"/>
    <mergeCell ref="E287:E288"/>
    <mergeCell ref="G287:H287"/>
    <mergeCell ref="G288:H28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E73"/>
  <sheetViews>
    <sheetView tabSelected="1" showWhiteSpace="0" zoomScale="70" zoomScaleNormal="70" workbookViewId="0">
      <selection activeCell="AC1" sqref="AC1"/>
    </sheetView>
  </sheetViews>
  <sheetFormatPr defaultColWidth="9.109375" defaultRowHeight="14.4" outlineLevelRow="1" outlineLevelCol="1"/>
  <cols>
    <col min="1" max="1" width="9.109375" style="643"/>
    <col min="2" max="2" width="7.6640625" style="643" customWidth="1"/>
    <col min="3" max="3" width="7.109375" style="643" customWidth="1" outlineLevel="1"/>
    <col min="4" max="4" width="8.6640625" style="643" customWidth="1" outlineLevel="1"/>
    <col min="5" max="5" width="15.33203125" style="643" customWidth="1"/>
    <col min="6" max="6" width="7.44140625" style="643" customWidth="1"/>
    <col min="7" max="7" width="7.44140625" style="916" customWidth="1"/>
    <col min="8" max="9" width="7.88671875" style="1181" customWidth="1" outlineLevel="1"/>
    <col min="10" max="10" width="7.88671875" style="980" customWidth="1" outlineLevel="1"/>
    <col min="11" max="11" width="22.88671875" style="643" customWidth="1"/>
    <col min="12" max="12" width="20.33203125" style="643" bestFit="1" customWidth="1"/>
    <col min="13" max="13" width="4.6640625" style="643" bestFit="1" customWidth="1"/>
    <col min="14" max="14" width="7.6640625" style="1181" bestFit="1" customWidth="1" outlineLevel="1"/>
    <col min="15" max="15" width="3.33203125" style="643" bestFit="1" customWidth="1"/>
    <col min="16" max="16" width="18" style="643" bestFit="1" customWidth="1"/>
    <col min="17" max="17" width="10.109375" style="643" bestFit="1" customWidth="1"/>
    <col min="18" max="18" width="5.88671875" style="643" bestFit="1" customWidth="1" outlineLevel="1"/>
    <col min="19" max="19" width="5.88671875" style="916" customWidth="1" outlineLevel="1"/>
    <col min="20" max="20" width="6.6640625" style="1181" bestFit="1" customWidth="1"/>
    <col min="21" max="21" width="8.33203125" style="1181" bestFit="1" customWidth="1"/>
    <col min="22" max="22" width="4.44140625" style="916" bestFit="1" customWidth="1"/>
    <col min="23" max="23" width="21" style="916" customWidth="1"/>
    <col min="24" max="24" width="37.44140625" style="643" customWidth="1"/>
    <col min="25" max="25" width="4.6640625" style="643" bestFit="1" customWidth="1" outlineLevel="1"/>
    <col min="26" max="26" width="10" style="1181" customWidth="1"/>
    <col min="27" max="27" width="9.44140625" style="916" customWidth="1"/>
    <col min="28" max="28" width="21.44140625" style="643" bestFit="1" customWidth="1"/>
    <col min="29" max="29" width="16.44140625" style="643" customWidth="1"/>
    <col min="30" max="30" width="4.6640625" style="643" bestFit="1" customWidth="1"/>
    <col min="31" max="31" width="6.77734375" style="1181" bestFit="1" customWidth="1"/>
    <col min="32" max="32" width="3.33203125" style="916" bestFit="1" customWidth="1"/>
    <col min="33" max="33" width="30.6640625" style="916" bestFit="1" customWidth="1"/>
    <col min="34" max="35" width="16.44140625" style="643" customWidth="1"/>
    <col min="36" max="36" width="18.33203125" style="643" customWidth="1"/>
    <col min="37" max="37" width="24.33203125" style="643" customWidth="1"/>
    <col min="38" max="38" width="38" style="643" customWidth="1"/>
    <col min="39" max="39" width="11" style="643" customWidth="1"/>
    <col min="40" max="40" width="11.88671875" style="643" customWidth="1" outlineLevel="1"/>
    <col min="41" max="41" width="11.88671875" style="916" customWidth="1" outlineLevel="1"/>
    <col min="42" max="42" width="11.33203125" style="643" customWidth="1"/>
    <col min="43" max="45" width="11.33203125" style="916" customWidth="1"/>
    <col min="46" max="46" width="8.44140625" style="643" bestFit="1" customWidth="1"/>
    <col min="47" max="47" width="14" style="643" bestFit="1" customWidth="1"/>
    <col min="48" max="48" width="9.109375" style="643"/>
    <col min="49" max="49" width="11.5546875" style="643" bestFit="1" customWidth="1"/>
    <col min="50" max="53" width="9.109375" style="643"/>
    <col min="54" max="54" width="18.6640625" style="643" customWidth="1"/>
    <col min="55" max="55" width="12.5546875" style="643" customWidth="1"/>
    <col min="56" max="56" width="19.5546875" style="643" customWidth="1"/>
    <col min="57" max="16384" width="9.109375" style="643"/>
  </cols>
  <sheetData>
    <row r="1" spans="1:57" ht="15" customHeight="1" thickBot="1">
      <c r="B1" s="643" t="s">
        <v>63</v>
      </c>
      <c r="K1" s="334"/>
      <c r="O1" s="916"/>
      <c r="AK1" s="916"/>
      <c r="AL1" s="916"/>
      <c r="AM1" s="916"/>
      <c r="AN1" s="916"/>
      <c r="AP1" s="916"/>
    </row>
    <row r="2" spans="1:57" ht="15" thickBot="1">
      <c r="B2" s="43"/>
      <c r="C2" s="643" t="s">
        <v>66</v>
      </c>
      <c r="K2" s="333"/>
      <c r="M2" s="333"/>
      <c r="N2" s="1188"/>
      <c r="O2" s="334"/>
      <c r="P2" s="333"/>
      <c r="Q2" s="334"/>
      <c r="R2" s="333"/>
      <c r="S2" s="333"/>
      <c r="T2" s="1186"/>
      <c r="U2" s="1186"/>
      <c r="V2" s="333"/>
      <c r="W2" s="333"/>
      <c r="X2" s="333"/>
      <c r="AK2" s="916"/>
      <c r="AL2" s="916"/>
      <c r="AM2" s="916"/>
      <c r="AN2" s="916"/>
      <c r="AP2" s="916"/>
    </row>
    <row r="3" spans="1:57" ht="18" customHeight="1" thickBot="1">
      <c r="B3" s="44"/>
      <c r="C3" s="643" t="s">
        <v>69</v>
      </c>
      <c r="O3" s="916"/>
      <c r="Y3" s="138"/>
    </row>
    <row r="4" spans="1:57" ht="12" customHeight="1" thickBot="1">
      <c r="B4" s="517"/>
      <c r="C4" s="643" t="s">
        <v>70</v>
      </c>
      <c r="O4" s="916"/>
      <c r="Y4" s="138"/>
    </row>
    <row r="5" spans="1:57" ht="29.4" thickBot="1">
      <c r="B5" s="46"/>
      <c r="C5" s="47" t="s">
        <v>71</v>
      </c>
      <c r="D5" s="47"/>
      <c r="O5" s="916"/>
      <c r="AO5" s="1429" t="s">
        <v>1007</v>
      </c>
      <c r="AQ5" s="1429" t="s">
        <v>1007</v>
      </c>
      <c r="AR5" s="1429"/>
      <c r="AS5" s="1429" t="s">
        <v>1007</v>
      </c>
      <c r="AX5" s="532" t="s">
        <v>550</v>
      </c>
    </row>
    <row r="6" spans="1:57" s="331" customFormat="1" ht="64.5" customHeight="1" thickBot="1">
      <c r="A6" s="1175" t="s">
        <v>855</v>
      </c>
      <c r="B6" s="1176" t="s">
        <v>261</v>
      </c>
      <c r="C6" s="1179" t="s">
        <v>293</v>
      </c>
      <c r="D6" s="1037" t="s">
        <v>594</v>
      </c>
      <c r="E6" s="1175" t="s">
        <v>855</v>
      </c>
      <c r="F6" s="1176" t="s">
        <v>261</v>
      </c>
      <c r="G6" s="1422" t="s">
        <v>1005</v>
      </c>
      <c r="H6" s="1179" t="s">
        <v>293</v>
      </c>
      <c r="I6" s="1422" t="s">
        <v>1006</v>
      </c>
      <c r="J6" s="1037" t="s">
        <v>594</v>
      </c>
      <c r="K6" s="575" t="s">
        <v>63</v>
      </c>
      <c r="L6" s="1180" t="s">
        <v>856</v>
      </c>
      <c r="M6" s="1176" t="s">
        <v>261</v>
      </c>
      <c r="N6" s="1179" t="s">
        <v>293</v>
      </c>
      <c r="O6" s="1037" t="s">
        <v>594</v>
      </c>
      <c r="P6" s="1180" t="s">
        <v>63</v>
      </c>
      <c r="Q6" s="1175" t="s">
        <v>857</v>
      </c>
      <c r="R6" s="1176" t="s">
        <v>261</v>
      </c>
      <c r="S6" s="1422" t="s">
        <v>1005</v>
      </c>
      <c r="T6" s="1179" t="s">
        <v>293</v>
      </c>
      <c r="U6" s="1422" t="s">
        <v>1006</v>
      </c>
      <c r="V6" s="1396" t="s">
        <v>594</v>
      </c>
      <c r="W6" s="1385" t="s">
        <v>63</v>
      </c>
      <c r="X6" s="1178" t="s">
        <v>52</v>
      </c>
      <c r="Y6" s="1175" t="s">
        <v>261</v>
      </c>
      <c r="Z6" s="1179" t="s">
        <v>293</v>
      </c>
      <c r="AA6" s="1037" t="s">
        <v>594</v>
      </c>
      <c r="AB6" s="575" t="s">
        <v>63</v>
      </c>
      <c r="AC6" s="1002" t="s">
        <v>615</v>
      </c>
      <c r="AD6" s="1176" t="s">
        <v>261</v>
      </c>
      <c r="AE6" s="1179" t="s">
        <v>293</v>
      </c>
      <c r="AF6" s="1037" t="s">
        <v>594</v>
      </c>
      <c r="AG6" s="575" t="s">
        <v>63</v>
      </c>
      <c r="AH6" s="1756" t="s">
        <v>331</v>
      </c>
      <c r="AI6" s="1756"/>
      <c r="AJ6" s="1756"/>
      <c r="AK6" s="1756"/>
      <c r="AL6" s="1756"/>
      <c r="AM6" s="1757"/>
      <c r="AN6" s="1177" t="s">
        <v>113</v>
      </c>
      <c r="AO6" s="1428" t="s">
        <v>113</v>
      </c>
      <c r="AP6" s="1535" t="str">
        <f>"SE of "&amp;AN6</f>
        <v>SE of Proportion of program units in this path</v>
      </c>
      <c r="AQ6" s="1536" t="str">
        <f>"SE of "&amp;AO6</f>
        <v>SE of Proportion of program units in this path</v>
      </c>
      <c r="AR6" s="1537" t="s">
        <v>1013</v>
      </c>
      <c r="AS6" s="1538" t="s">
        <v>1013</v>
      </c>
      <c r="AT6" s="1194" t="s">
        <v>594</v>
      </c>
      <c r="AV6" s="643"/>
      <c r="AW6" s="643"/>
      <c r="AX6" s="1560" t="s">
        <v>519</v>
      </c>
      <c r="AY6" s="1560"/>
      <c r="AZ6" s="1560"/>
      <c r="BA6" s="1560"/>
      <c r="BB6" s="1560"/>
      <c r="BC6" s="1637"/>
      <c r="BD6" s="1025" t="s">
        <v>617</v>
      </c>
      <c r="BE6" s="1026" t="s">
        <v>293</v>
      </c>
    </row>
    <row r="7" spans="1:57" s="331" customFormat="1" ht="30.75" hidden="1" customHeight="1" thickBot="1">
      <c r="A7" s="334"/>
      <c r="B7" s="334"/>
      <c r="C7" s="134"/>
      <c r="D7" s="134"/>
      <c r="E7" s="334"/>
      <c r="F7" s="334"/>
      <c r="G7" s="334"/>
      <c r="H7" s="1187"/>
      <c r="I7" s="1187"/>
      <c r="J7" s="134"/>
      <c r="K7" s="334"/>
      <c r="L7" s="134"/>
      <c r="M7" s="334"/>
      <c r="N7" s="1188"/>
      <c r="O7" s="334"/>
      <c r="P7" s="134"/>
      <c r="Q7" s="134"/>
      <c r="R7" s="334"/>
      <c r="S7" s="334"/>
      <c r="T7" s="1187"/>
      <c r="U7" s="1187"/>
      <c r="V7" s="134"/>
      <c r="W7" s="134"/>
      <c r="X7" s="334"/>
      <c r="Y7" s="334"/>
      <c r="Z7" s="264" t="s">
        <v>123</v>
      </c>
      <c r="AA7" s="135"/>
      <c r="AB7" s="136" t="s">
        <v>151</v>
      </c>
      <c r="AC7" s="136"/>
      <c r="AD7" s="136"/>
      <c r="AE7" s="1182"/>
      <c r="AF7" s="136"/>
      <c r="AG7" s="136"/>
      <c r="AH7" s="643"/>
      <c r="AI7" s="643"/>
      <c r="AJ7" s="643"/>
      <c r="AK7" s="643"/>
      <c r="AL7" s="643"/>
      <c r="AM7" s="643"/>
      <c r="AN7" s="136" t="s">
        <v>213</v>
      </c>
      <c r="AO7" s="136"/>
      <c r="AP7" s="136" t="s">
        <v>616</v>
      </c>
      <c r="AQ7" s="1539"/>
      <c r="AR7" s="1539"/>
      <c r="AS7" s="1539"/>
      <c r="AT7" s="334"/>
      <c r="AU7" s="334"/>
      <c r="AV7" s="643"/>
      <c r="AW7" s="643"/>
    </row>
    <row r="8" spans="1:57" s="334" customFormat="1" ht="15.75" customHeight="1" outlineLevel="1" thickBot="1">
      <c r="A8" s="50" t="s">
        <v>31</v>
      </c>
      <c r="B8" s="71">
        <f>'Part Keep-Discard'!AF13/100</f>
        <v>0.159828</v>
      </c>
      <c r="C8" s="447">
        <f>'Part Keep-Discard'!AG13</f>
        <v>1.1528E-2</v>
      </c>
      <c r="D8" s="978">
        <v>1088</v>
      </c>
      <c r="E8" s="802" t="s">
        <v>48</v>
      </c>
      <c r="F8" s="72">
        <f>'Part KIU-KU'!AG13/100</f>
        <v>0.85594199999999998</v>
      </c>
      <c r="G8" s="72">
        <f>F8</f>
        <v>0.85594199999999998</v>
      </c>
      <c r="H8" s="225">
        <f>'Part KIU-KU'!AH13</f>
        <v>2.7723000000000001E-2</v>
      </c>
      <c r="I8" s="225">
        <f>H8</f>
        <v>2.7723000000000001E-2</v>
      </c>
      <c r="J8" s="981">
        <v>172</v>
      </c>
      <c r="K8" s="803" t="s">
        <v>994</v>
      </c>
      <c r="L8" s="803"/>
      <c r="M8" s="1504">
        <v>0</v>
      </c>
      <c r="N8" s="1183"/>
      <c r="O8" s="803"/>
      <c r="P8" s="803"/>
      <c r="Q8" s="803"/>
      <c r="R8" s="803"/>
      <c r="S8" s="1494">
        <v>0</v>
      </c>
      <c r="T8" s="1183"/>
      <c r="U8" s="1183"/>
      <c r="V8" s="803"/>
      <c r="W8" s="1388"/>
      <c r="X8" s="803"/>
      <c r="Y8" s="1494">
        <v>0</v>
      </c>
      <c r="Z8" s="1183"/>
      <c r="AA8" s="803"/>
      <c r="AB8" s="803"/>
      <c r="AC8" s="803"/>
      <c r="AD8" s="1504">
        <v>0</v>
      </c>
      <c r="AE8" s="1498"/>
      <c r="AF8" s="1397"/>
      <c r="AG8" s="1389"/>
      <c r="AH8" s="1752" t="s">
        <v>267</v>
      </c>
      <c r="AI8" s="1753"/>
      <c r="AJ8" s="1753"/>
      <c r="AK8" s="1753"/>
      <c r="AL8" s="1753"/>
      <c r="AM8" s="1753"/>
      <c r="AN8" s="743">
        <f>$B8*F8</f>
        <v>0.136803497976</v>
      </c>
      <c r="AO8" s="743">
        <f>$B8*G8</f>
        <v>0.136803497976</v>
      </c>
      <c r="AP8" s="1548">
        <f>H8*100</f>
        <v>2.7723</v>
      </c>
      <c r="AQ8" s="1549">
        <f>AO8*SQRT(IF($B8&gt;0,($C8/$B8)^2,0)+IF($G8&gt;0,($I8/$G8)^2,0)+IF(M8&gt;0,(N8/M8)^2,0)+IF(S8&gt;0,(U8/S8)^2,0)+IF(Y8&gt;0,(Z8/Y8)^2,0)+IF(AD8&gt;0,(AE8/AD8)^2,0))*100</f>
        <v>1.0816495503283157</v>
      </c>
      <c r="AR8" s="1544">
        <f>AP8*1.654</f>
        <v>4.5853842</v>
      </c>
      <c r="AS8" s="1540">
        <f t="shared" ref="AS8:AS30" si="0">AQ8*1.654</f>
        <v>1.7890483562430339</v>
      </c>
      <c r="AT8" s="1193">
        <f>J8</f>
        <v>172</v>
      </c>
      <c r="AU8" s="566"/>
      <c r="AV8" s="643"/>
      <c r="AW8" s="643"/>
      <c r="AX8" s="1575" t="s">
        <v>267</v>
      </c>
      <c r="AY8" s="1575"/>
      <c r="AZ8" s="1575"/>
      <c r="BA8" s="1575"/>
      <c r="BB8" s="1575"/>
      <c r="BC8" s="1575"/>
      <c r="BD8" s="765">
        <f t="shared" ref="BD8:BD30" si="1">AN8</f>
        <v>0.136803497976</v>
      </c>
      <c r="BE8" s="825">
        <f>AP8</f>
        <v>2.7723</v>
      </c>
    </row>
    <row r="9" spans="1:57" ht="15" thickBot="1">
      <c r="A9" s="220"/>
      <c r="B9" s="1457">
        <f>B8</f>
        <v>0.159828</v>
      </c>
      <c r="C9" s="1458">
        <f t="shared" ref="C9:D9" si="2">C8</f>
        <v>1.1528E-2</v>
      </c>
      <c r="D9" s="1459">
        <f t="shared" si="2"/>
        <v>1088</v>
      </c>
      <c r="E9" s="802" t="s">
        <v>49</v>
      </c>
      <c r="F9" s="72">
        <f>'Part KIU-KU'!AG12/100</f>
        <v>0.14405799999999999</v>
      </c>
      <c r="G9" s="72">
        <f>F9</f>
        <v>0.14405799999999999</v>
      </c>
      <c r="H9" s="225">
        <f>'Part KIU-KU'!AH12</f>
        <v>2.7723000000000001E-2</v>
      </c>
      <c r="I9" s="225">
        <f>H9</f>
        <v>2.7723000000000001E-2</v>
      </c>
      <c r="J9" s="981">
        <v>172</v>
      </c>
      <c r="K9" s="803" t="s">
        <v>994</v>
      </c>
      <c r="L9" s="803"/>
      <c r="M9" s="1504">
        <v>0</v>
      </c>
      <c r="N9" s="1183"/>
      <c r="O9" s="803"/>
      <c r="P9" s="803"/>
      <c r="Q9" s="803"/>
      <c r="R9" s="803"/>
      <c r="S9" s="1494">
        <v>0</v>
      </c>
      <c r="T9" s="1183"/>
      <c r="U9" s="1183"/>
      <c r="V9" s="803"/>
      <c r="W9" s="1388"/>
      <c r="X9" s="803"/>
      <c r="Y9" s="1494">
        <v>0</v>
      </c>
      <c r="Z9" s="1183"/>
      <c r="AA9" s="803"/>
      <c r="AB9" s="803"/>
      <c r="AC9" s="803"/>
      <c r="AD9" s="1504">
        <v>0</v>
      </c>
      <c r="AE9" s="1498"/>
      <c r="AF9" s="1397"/>
      <c r="AG9" s="1389"/>
      <c r="AH9" s="1752" t="s">
        <v>268</v>
      </c>
      <c r="AI9" s="1753"/>
      <c r="AJ9" s="1753"/>
      <c r="AK9" s="1753"/>
      <c r="AL9" s="1753"/>
      <c r="AM9" s="1753"/>
      <c r="AN9" s="743">
        <f>$B8*F9</f>
        <v>2.3024502023999999E-2</v>
      </c>
      <c r="AO9" s="743">
        <f>$B8*G9</f>
        <v>2.3024502023999999E-2</v>
      </c>
      <c r="AP9" s="1548">
        <f>H9*100</f>
        <v>2.7723</v>
      </c>
      <c r="AQ9" s="1549">
        <f t="shared" ref="AQ9:AQ30" si="3">AO9*SQRT(IF($B9&gt;0,($C9/$B9)^2,0)+IF($G9&gt;0,($I9/$G9)^2,0)+IF(M9&gt;0,(N9/M9)^2,0)+IF(S9&gt;0,(U9/S9)^2,0)+IF(Y9&gt;0,(Z9/Y9)^2,0)+IF(AD9&gt;0,(AE9/AD9)^2,0))*100</f>
        <v>0.473190284763844</v>
      </c>
      <c r="AR9" s="1544">
        <f t="shared" ref="AR9:AR30" si="4">AP9*1.654</f>
        <v>4.5853842</v>
      </c>
      <c r="AS9" s="1540">
        <f t="shared" si="0"/>
        <v>0.78265673099939792</v>
      </c>
      <c r="AT9" s="1193">
        <f>J9</f>
        <v>172</v>
      </c>
      <c r="AU9" s="566"/>
      <c r="AX9" s="1575" t="s">
        <v>268</v>
      </c>
      <c r="AY9" s="1575"/>
      <c r="AZ9" s="1575"/>
      <c r="BA9" s="1575"/>
      <c r="BB9" s="1575"/>
      <c r="BC9" s="1575"/>
      <c r="BD9" s="765">
        <f t="shared" si="1"/>
        <v>2.3024502023999999E-2</v>
      </c>
      <c r="BE9" s="825">
        <f t="shared" ref="BE9:BE30" si="5">AP9</f>
        <v>2.7723</v>
      </c>
    </row>
    <row r="10" spans="1:57" ht="15" thickBot="1">
      <c r="A10" s="948" t="s">
        <v>32</v>
      </c>
      <c r="B10" s="949">
        <f>'Part Keep-Discard'!AF12/100</f>
        <v>0.84017200000000003</v>
      </c>
      <c r="C10" s="950">
        <f>'Part Keep-Discard'!AG12</f>
        <v>1.1528E-2</v>
      </c>
      <c r="D10" s="979">
        <v>1088</v>
      </c>
      <c r="E10" s="951" t="s">
        <v>53</v>
      </c>
      <c r="F10" s="988">
        <f>'Discarder Disposition'!K6</f>
        <v>0.21604999999999999</v>
      </c>
      <c r="G10" s="988">
        <f>F10</f>
        <v>0.21604999999999999</v>
      </c>
      <c r="H10" s="952">
        <f>'Discarder Disposition'!AJ13</f>
        <v>2.5357000000000001E-2</v>
      </c>
      <c r="I10" s="952">
        <f>H10</f>
        <v>2.5357000000000001E-2</v>
      </c>
      <c r="J10" s="982">
        <v>848</v>
      </c>
      <c r="K10" s="951" t="s">
        <v>995</v>
      </c>
      <c r="L10" s="951"/>
      <c r="M10" s="1505">
        <v>0</v>
      </c>
      <c r="N10" s="1184"/>
      <c r="O10" s="951"/>
      <c r="P10" s="951"/>
      <c r="Q10" s="951"/>
      <c r="R10" s="951"/>
      <c r="S10" s="1495">
        <v>0</v>
      </c>
      <c r="T10" s="1184"/>
      <c r="U10" s="1184"/>
      <c r="V10" s="951"/>
      <c r="W10" s="951"/>
      <c r="X10" s="951"/>
      <c r="Y10" s="1495">
        <v>0</v>
      </c>
      <c r="Z10" s="1184"/>
      <c r="AA10" s="951"/>
      <c r="AB10" s="951"/>
      <c r="AC10" s="951"/>
      <c r="AD10" s="1505">
        <v>0</v>
      </c>
      <c r="AE10" s="1499"/>
      <c r="AF10" s="1398"/>
      <c r="AG10" s="953"/>
      <c r="AH10" s="1754" t="s">
        <v>133</v>
      </c>
      <c r="AI10" s="1755"/>
      <c r="AJ10" s="1755"/>
      <c r="AK10" s="1755"/>
      <c r="AL10" s="1755"/>
      <c r="AM10" s="1755"/>
      <c r="AN10" s="744">
        <f>$B10*F10</f>
        <v>0.18151916060000001</v>
      </c>
      <c r="AO10" s="744">
        <f>$B10*G10</f>
        <v>0.18151916060000001</v>
      </c>
      <c r="AP10" s="1550">
        <f>AN10*SQRT(IF($B$10&gt;0,($C$10/$B$10)^2,0)+IF(F10&gt;0,(H10/F10)^2,0))*100</f>
        <v>2.144933359575032</v>
      </c>
      <c r="AQ10" s="1551">
        <f t="shared" si="3"/>
        <v>2.144933359575032</v>
      </c>
      <c r="AR10" s="1545">
        <f t="shared" si="4"/>
        <v>3.5477197767371025</v>
      </c>
      <c r="AS10" s="1541">
        <f t="shared" si="0"/>
        <v>3.5477197767371025</v>
      </c>
      <c r="AT10" s="1193">
        <f>J10</f>
        <v>848</v>
      </c>
      <c r="AU10" s="566"/>
      <c r="AX10" s="1583" t="s">
        <v>340</v>
      </c>
      <c r="AY10" s="1602" t="s">
        <v>133</v>
      </c>
      <c r="AZ10" s="1603"/>
      <c r="BA10" s="1603"/>
      <c r="BB10" s="1603"/>
      <c r="BC10" s="1604"/>
      <c r="BD10" s="765">
        <f t="shared" si="1"/>
        <v>0.18151916060000001</v>
      </c>
      <c r="BE10" s="825">
        <f t="shared" si="5"/>
        <v>2.144933359575032</v>
      </c>
    </row>
    <row r="11" spans="1:57" ht="15" thickBot="1">
      <c r="A11" s="954"/>
      <c r="B11" s="1460">
        <f t="shared" ref="B11:B30" si="6">B10</f>
        <v>0.84017200000000003</v>
      </c>
      <c r="C11" s="1461">
        <f t="shared" ref="C11:C30" si="7">C10</f>
        <v>1.1528E-2</v>
      </c>
      <c r="D11" s="1462">
        <f t="shared" ref="D11:D30" si="8">D10</f>
        <v>1088</v>
      </c>
      <c r="E11" s="955" t="s">
        <v>62</v>
      </c>
      <c r="F11" s="989">
        <f>SecMktVolume!F128</f>
        <v>0.40357085746560761</v>
      </c>
      <c r="G11" s="1423">
        <f>SecMktVolume!J128</f>
        <v>0.48741188932218765</v>
      </c>
      <c r="H11" s="1406">
        <f>SecMktVolume!G128</f>
        <v>0.20658174742622759</v>
      </c>
      <c r="I11" s="1424">
        <f>SecMktVolume!K128</f>
        <v>5.8803238954113303E-2</v>
      </c>
      <c r="J11" s="986">
        <v>848</v>
      </c>
      <c r="K11" s="955" t="s">
        <v>995</v>
      </c>
      <c r="L11" s="955"/>
      <c r="M11" s="1507">
        <v>0</v>
      </c>
      <c r="N11" s="1189"/>
      <c r="O11" s="955"/>
      <c r="P11" s="956"/>
      <c r="Q11" s="1447" t="s">
        <v>59</v>
      </c>
      <c r="R11" s="1434">
        <f>'P2P CF if Unit not available'!AI86</f>
        <v>0.76906300000000005</v>
      </c>
      <c r="S11" s="1435">
        <f>'P2P CF if Unit not available'!AN86</f>
        <v>0.78181598230333194</v>
      </c>
      <c r="T11" s="1431">
        <f>'P2P CF if Unit not available'!AJ84</f>
        <v>0.24099999999999999</v>
      </c>
      <c r="U11" s="1430">
        <f>'P2P CF if Unit not available'!AJ86</f>
        <v>2.3935999999999999E-2</v>
      </c>
      <c r="V11" s="1436">
        <v>323</v>
      </c>
      <c r="W11" s="1765" t="s">
        <v>996</v>
      </c>
      <c r="X11" s="991" t="s">
        <v>72</v>
      </c>
      <c r="Y11" s="961">
        <f>'P2P CF if Unit not available'!AV11</f>
        <v>4.4646999999999999E-2</v>
      </c>
      <c r="Z11" s="962">
        <f>'P2P CF if Unit not available'!AW11</f>
        <v>1.4902E-2</v>
      </c>
      <c r="AA11" s="996">
        <v>236</v>
      </c>
      <c r="AB11" s="945" t="s">
        <v>997</v>
      </c>
      <c r="AC11" s="945"/>
      <c r="AD11" s="1506">
        <v>0</v>
      </c>
      <c r="AE11" s="1500"/>
      <c r="AF11" s="1399"/>
      <c r="AG11" s="946"/>
      <c r="AH11" s="1761" t="s">
        <v>340</v>
      </c>
      <c r="AI11" s="1742" t="s">
        <v>341</v>
      </c>
      <c r="AJ11" s="1748" t="s">
        <v>342</v>
      </c>
      <c r="AK11" s="1750" t="s">
        <v>344</v>
      </c>
      <c r="AL11" s="1750"/>
      <c r="AM11" s="1750"/>
      <c r="AN11" s="747">
        <f>$B10*F11*R11*$Y11</f>
        <v>1.1642391561073492E-2</v>
      </c>
      <c r="AO11" s="747">
        <f>$B10*G11*S11*$Y11</f>
        <v>1.4294242617114754E-2</v>
      </c>
      <c r="AP11" s="1552">
        <f>AN11*SQRT(IF($B$10&gt;0,($C$10/$B$10)^2,0)+IF($F$11&gt;0,($H$11/$F$11)^2,0)+IF(Y11&gt;0,(Z11/Y11)^2,0))*100</f>
        <v>0.71163415254117457</v>
      </c>
      <c r="AQ11" s="1553">
        <f t="shared" si="3"/>
        <v>0.50957621788132668</v>
      </c>
      <c r="AR11" s="1546">
        <f t="shared" si="4"/>
        <v>1.1770428883031028</v>
      </c>
      <c r="AS11" s="1542">
        <f t="shared" si="0"/>
        <v>0.84283906437571432</v>
      </c>
      <c r="AT11" s="1193">
        <f>AA11</f>
        <v>236</v>
      </c>
      <c r="AU11" s="566"/>
      <c r="AX11" s="1583"/>
      <c r="AY11" s="1592" t="s">
        <v>341</v>
      </c>
      <c r="AZ11" s="1592" t="s">
        <v>342</v>
      </c>
      <c r="BA11" s="1575" t="s">
        <v>344</v>
      </c>
      <c r="BB11" s="1575"/>
      <c r="BC11" s="1575"/>
      <c r="BD11" s="765">
        <f t="shared" si="1"/>
        <v>1.1642391561073492E-2</v>
      </c>
      <c r="BE11" s="825">
        <f t="shared" si="5"/>
        <v>0.71163415254117457</v>
      </c>
    </row>
    <row r="12" spans="1:57" ht="15" thickBot="1">
      <c r="A12" s="954"/>
      <c r="B12" s="1460">
        <f t="shared" si="6"/>
        <v>0.84017200000000003</v>
      </c>
      <c r="C12" s="1461">
        <f t="shared" si="7"/>
        <v>1.1528E-2</v>
      </c>
      <c r="D12" s="1462">
        <f t="shared" si="8"/>
        <v>1088</v>
      </c>
      <c r="E12" s="957"/>
      <c r="F12" s="1463">
        <f>F11</f>
        <v>0.40357085746560761</v>
      </c>
      <c r="G12" s="1464">
        <f t="shared" ref="G12:G19" si="9">G11</f>
        <v>0.48741188932218765</v>
      </c>
      <c r="H12" s="1465">
        <f t="shared" ref="H12:H19" si="10">H11</f>
        <v>0.20658174742622759</v>
      </c>
      <c r="I12" s="1466">
        <f t="shared" ref="I12:I19" si="11">I11</f>
        <v>5.8803238954113303E-2</v>
      </c>
      <c r="J12" s="1467">
        <f t="shared" ref="J12:J19" si="12">J11</f>
        <v>848</v>
      </c>
      <c r="K12" s="957"/>
      <c r="L12" s="957"/>
      <c r="M12" s="1508">
        <v>0</v>
      </c>
      <c r="N12" s="1190"/>
      <c r="O12" s="957"/>
      <c r="P12" s="958"/>
      <c r="Q12" s="1448"/>
      <c r="R12" s="1482">
        <f>R11</f>
        <v>0.76906300000000005</v>
      </c>
      <c r="S12" s="1483">
        <f t="shared" ref="S12:S15" si="13">S11</f>
        <v>0.78181598230333194</v>
      </c>
      <c r="T12" s="1484">
        <f t="shared" ref="T12:T15" si="14">T11</f>
        <v>0.24099999999999999</v>
      </c>
      <c r="U12" s="1485">
        <f t="shared" ref="U12:U15" si="15">U11</f>
        <v>2.3935999999999999E-2</v>
      </c>
      <c r="V12" s="1437"/>
      <c r="W12" s="1766"/>
      <c r="X12" s="991" t="s">
        <v>73</v>
      </c>
      <c r="Y12" s="961">
        <f>'P2P CF if Unit not available'!AV14</f>
        <v>0.37978600000000001</v>
      </c>
      <c r="Z12" s="962">
        <f>'P2P CF if Unit not available'!AW14</f>
        <v>3.2230000000000002E-2</v>
      </c>
      <c r="AA12" s="997">
        <v>236</v>
      </c>
      <c r="AB12" s="945" t="s">
        <v>997</v>
      </c>
      <c r="AC12" s="945"/>
      <c r="AD12" s="1506">
        <v>0</v>
      </c>
      <c r="AE12" s="1500"/>
      <c r="AF12" s="1399"/>
      <c r="AG12" s="946"/>
      <c r="AH12" s="1761"/>
      <c r="AI12" s="1742"/>
      <c r="AJ12" s="1748"/>
      <c r="AK12" s="1750" t="s">
        <v>345</v>
      </c>
      <c r="AL12" s="1750"/>
      <c r="AM12" s="1750"/>
      <c r="AN12" s="747">
        <f>$B10*F11*R11*$Y12</f>
        <v>9.9035037548185934E-2</v>
      </c>
      <c r="AO12" s="747">
        <f>$B10*G11*S11*$Y12</f>
        <v>0.12159278846470185</v>
      </c>
      <c r="AP12" s="1552">
        <f>AN12*SQRT(IF($B$10&gt;0,($C$10/$B$10)^2,0)+IF($F$11&gt;0,($H$11/$F$11)^2,0)+IF(Y12&gt;0,(Z12/Y12)^2,0))*100</f>
        <v>5.1404435522609502</v>
      </c>
      <c r="AQ12" s="1553">
        <f t="shared" si="3"/>
        <v>1.8393239950082347</v>
      </c>
      <c r="AR12" s="1546">
        <f t="shared" si="4"/>
        <v>8.5022936354396119</v>
      </c>
      <c r="AS12" s="1542">
        <f t="shared" si="0"/>
        <v>3.0422418877436201</v>
      </c>
      <c r="AT12" s="1193">
        <f>AA12</f>
        <v>236</v>
      </c>
      <c r="AU12" s="566"/>
      <c r="AX12" s="1583"/>
      <c r="AY12" s="1593"/>
      <c r="AZ12" s="1593"/>
      <c r="BA12" s="1575" t="s">
        <v>345</v>
      </c>
      <c r="BB12" s="1575"/>
      <c r="BC12" s="1575"/>
      <c r="BD12" s="765">
        <f t="shared" si="1"/>
        <v>9.9035037548185934E-2</v>
      </c>
      <c r="BE12" s="825">
        <f t="shared" si="5"/>
        <v>5.1404435522609502</v>
      </c>
    </row>
    <row r="13" spans="1:57" ht="15" thickBot="1">
      <c r="A13" s="954"/>
      <c r="B13" s="1460">
        <f t="shared" si="6"/>
        <v>0.84017200000000003</v>
      </c>
      <c r="C13" s="1461">
        <f t="shared" si="7"/>
        <v>1.1528E-2</v>
      </c>
      <c r="D13" s="1462">
        <f t="shared" si="8"/>
        <v>1088</v>
      </c>
      <c r="E13" s="957"/>
      <c r="F13" s="1463">
        <f t="shared" ref="F13:F19" si="16">F12</f>
        <v>0.40357085746560761</v>
      </c>
      <c r="G13" s="1464">
        <f t="shared" si="9"/>
        <v>0.48741188932218765</v>
      </c>
      <c r="H13" s="1465">
        <f t="shared" si="10"/>
        <v>0.20658174742622759</v>
      </c>
      <c r="I13" s="1466">
        <f t="shared" si="11"/>
        <v>5.8803238954113303E-2</v>
      </c>
      <c r="J13" s="1467">
        <f t="shared" si="12"/>
        <v>848</v>
      </c>
      <c r="K13" s="957"/>
      <c r="L13" s="957"/>
      <c r="M13" s="1508">
        <v>0</v>
      </c>
      <c r="N13" s="1190"/>
      <c r="O13" s="957"/>
      <c r="P13" s="958"/>
      <c r="Q13" s="1448"/>
      <c r="R13" s="1482">
        <f t="shared" ref="R13:R15" si="17">R12</f>
        <v>0.76906300000000005</v>
      </c>
      <c r="S13" s="1483">
        <f t="shared" si="13"/>
        <v>0.78181598230333194</v>
      </c>
      <c r="T13" s="1484">
        <f t="shared" si="14"/>
        <v>0.24099999999999999</v>
      </c>
      <c r="U13" s="1485">
        <f t="shared" si="15"/>
        <v>2.3935999999999999E-2</v>
      </c>
      <c r="V13" s="1437"/>
      <c r="W13" s="1766"/>
      <c r="X13" s="991" t="s">
        <v>74</v>
      </c>
      <c r="Y13" s="961">
        <f>'P2P CF if Unit not available'!AV12</f>
        <v>0.32297799999999999</v>
      </c>
      <c r="Z13" s="962">
        <f>'P2P CF if Unit not available'!AW12</f>
        <v>3.1143000000000001E-2</v>
      </c>
      <c r="AA13" s="997">
        <v>236</v>
      </c>
      <c r="AB13" s="945" t="s">
        <v>997</v>
      </c>
      <c r="AC13" s="945"/>
      <c r="AD13" s="1506">
        <v>0</v>
      </c>
      <c r="AE13" s="1500"/>
      <c r="AF13" s="1399"/>
      <c r="AG13" s="946"/>
      <c r="AH13" s="1761"/>
      <c r="AI13" s="1742"/>
      <c r="AJ13" s="1748"/>
      <c r="AK13" s="1750" t="s">
        <v>346</v>
      </c>
      <c r="AL13" s="1750"/>
      <c r="AM13" s="1750"/>
      <c r="AN13" s="747">
        <f>$B10*F11*R11*$Y13</f>
        <v>8.4221478298931493E-2</v>
      </c>
      <c r="AO13" s="747">
        <f>$B10*G11*S11*$Y13</f>
        <v>0.10340506399064861</v>
      </c>
      <c r="AP13" s="1552">
        <f>AN13*SQRT(IF($B$10&gt;0,($C$10/$B$10)^2,0)+IF($F$11&gt;0,($H$11/$F$11)^2,0)+IF(Y13&gt;0,(Z13/Y13)^2,0))*100</f>
        <v>4.388512052775968</v>
      </c>
      <c r="AQ13" s="1553">
        <f t="shared" si="3"/>
        <v>1.6342653554936777</v>
      </c>
      <c r="AR13" s="1546">
        <f t="shared" si="4"/>
        <v>7.2585989352914506</v>
      </c>
      <c r="AS13" s="1542">
        <f t="shared" si="0"/>
        <v>2.7030748979865429</v>
      </c>
      <c r="AT13" s="1193">
        <f>AA13</f>
        <v>236</v>
      </c>
      <c r="AU13" s="566"/>
      <c r="AX13" s="1583"/>
      <c r="AY13" s="1593"/>
      <c r="AZ13" s="1593"/>
      <c r="BA13" s="1575" t="s">
        <v>346</v>
      </c>
      <c r="BB13" s="1575"/>
      <c r="BC13" s="1575"/>
      <c r="BD13" s="765">
        <f t="shared" si="1"/>
        <v>8.4221478298931493E-2</v>
      </c>
      <c r="BE13" s="825">
        <f t="shared" si="5"/>
        <v>4.388512052775968</v>
      </c>
    </row>
    <row r="14" spans="1:57" ht="24.6" thickBot="1">
      <c r="A14" s="1762" t="s">
        <v>994</v>
      </c>
      <c r="B14" s="1460">
        <f t="shared" si="6"/>
        <v>0.84017200000000003</v>
      </c>
      <c r="C14" s="1461">
        <f t="shared" si="7"/>
        <v>1.1528E-2</v>
      </c>
      <c r="D14" s="1462">
        <f t="shared" si="8"/>
        <v>1088</v>
      </c>
      <c r="E14" s="957"/>
      <c r="F14" s="1463">
        <f t="shared" si="16"/>
        <v>0.40357085746560761</v>
      </c>
      <c r="G14" s="1464">
        <f t="shared" si="9"/>
        <v>0.48741188932218765</v>
      </c>
      <c r="H14" s="1465">
        <f t="shared" si="10"/>
        <v>0.20658174742622759</v>
      </c>
      <c r="I14" s="1466">
        <f t="shared" si="11"/>
        <v>5.8803238954113303E-2</v>
      </c>
      <c r="J14" s="1467">
        <f t="shared" si="12"/>
        <v>848</v>
      </c>
      <c r="K14" s="957"/>
      <c r="L14" s="957"/>
      <c r="M14" s="1508">
        <v>0</v>
      </c>
      <c r="N14" s="1190"/>
      <c r="O14" s="957"/>
      <c r="P14" s="958"/>
      <c r="Q14" s="1448"/>
      <c r="R14" s="1482">
        <f t="shared" si="17"/>
        <v>0.76906300000000005</v>
      </c>
      <c r="S14" s="1483">
        <f t="shared" si="13"/>
        <v>0.78181598230333194</v>
      </c>
      <c r="T14" s="1484">
        <f t="shared" si="14"/>
        <v>0.24099999999999999</v>
      </c>
      <c r="U14" s="1485">
        <f t="shared" si="15"/>
        <v>2.3935999999999999E-2</v>
      </c>
      <c r="V14" s="1437"/>
      <c r="W14" s="1766"/>
      <c r="X14" s="1743" t="s">
        <v>76</v>
      </c>
      <c r="Y14" s="1439">
        <f>'P2P CF if Unit not available'!AV13</f>
        <v>0.25258799999999998</v>
      </c>
      <c r="Z14" s="1490">
        <f>'P2P CF if Unit not available'!AW13</f>
        <v>2.8632999999999999E-2</v>
      </c>
      <c r="AA14" s="1407">
        <v>236</v>
      </c>
      <c r="AB14" s="1763" t="s">
        <v>997</v>
      </c>
      <c r="AC14" s="947" t="s">
        <v>509</v>
      </c>
      <c r="AD14" s="999">
        <f>'P2P CF if Unit not available'!AJ38</f>
        <v>0.78708699999999998</v>
      </c>
      <c r="AE14" s="1501">
        <f>'P2P CF if Unit not available'!AK38</f>
        <v>5.5259000000000003E-2</v>
      </c>
      <c r="AF14" s="1401">
        <v>61</v>
      </c>
      <c r="AG14" s="1003" t="s">
        <v>999</v>
      </c>
      <c r="AH14" s="1761"/>
      <c r="AI14" s="1742"/>
      <c r="AJ14" s="1748"/>
      <c r="AK14" s="1741" t="s">
        <v>494</v>
      </c>
      <c r="AL14" s="1741"/>
      <c r="AM14" s="801" t="s">
        <v>509</v>
      </c>
      <c r="AN14" s="747">
        <f>$B10*F11*R11*$Y14*$AD14</f>
        <v>5.1842432725117987E-2</v>
      </c>
      <c r="AO14" s="747">
        <f>$B10*G11*S11*$Y14*$AD14</f>
        <v>6.3650866520586033E-2</v>
      </c>
      <c r="AP14" s="1552">
        <f>AN14*SQRT(IF($B$10&gt;0,($C$10/$B$10)^2,0)+IF($F$11&gt;0,($H$11/$F$11)^2,0)+IF(Y14&gt;0,(Z14/Y14)^2,0)+IF(AD14&gt;0,(AE14/AD14)^2,0))*100</f>
        <v>2.7432112796196733</v>
      </c>
      <c r="AQ14" s="1553">
        <f t="shared" si="3"/>
        <v>1.1643012957589542</v>
      </c>
      <c r="AR14" s="1546">
        <f t="shared" si="4"/>
        <v>4.5372714564909398</v>
      </c>
      <c r="AS14" s="1542">
        <f t="shared" si="0"/>
        <v>1.9257543431853101</v>
      </c>
      <c r="AT14" s="1193">
        <f>AF14</f>
        <v>61</v>
      </c>
      <c r="AU14" s="566"/>
      <c r="AX14" s="1583"/>
      <c r="AY14" s="1593"/>
      <c r="AZ14" s="1593"/>
      <c r="BA14" s="1605" t="s">
        <v>494</v>
      </c>
      <c r="BB14" s="1605"/>
      <c r="BC14" s="774" t="s">
        <v>509</v>
      </c>
      <c r="BD14" s="765">
        <f t="shared" si="1"/>
        <v>5.1842432725117987E-2</v>
      </c>
      <c r="BE14" s="825">
        <f t="shared" si="5"/>
        <v>2.7432112796196733</v>
      </c>
    </row>
    <row r="15" spans="1:57" ht="15" thickBot="1">
      <c r="A15" s="1762"/>
      <c r="B15" s="1460">
        <f t="shared" si="6"/>
        <v>0.84017200000000003</v>
      </c>
      <c r="C15" s="1461">
        <f t="shared" si="7"/>
        <v>1.1528E-2</v>
      </c>
      <c r="D15" s="1462">
        <f t="shared" si="8"/>
        <v>1088</v>
      </c>
      <c r="E15" s="957"/>
      <c r="F15" s="1463">
        <f t="shared" si="16"/>
        <v>0.40357085746560761</v>
      </c>
      <c r="G15" s="1464">
        <f t="shared" si="9"/>
        <v>0.48741188932218765</v>
      </c>
      <c r="H15" s="1465">
        <f t="shared" si="10"/>
        <v>0.20658174742622759</v>
      </c>
      <c r="I15" s="1466">
        <f t="shared" si="11"/>
        <v>5.8803238954113303E-2</v>
      </c>
      <c r="J15" s="1467">
        <f t="shared" si="12"/>
        <v>848</v>
      </c>
      <c r="K15" s="957"/>
      <c r="L15" s="957"/>
      <c r="M15" s="1508">
        <v>0</v>
      </c>
      <c r="N15" s="1190"/>
      <c r="O15" s="957"/>
      <c r="P15" s="958"/>
      <c r="Q15" s="1449"/>
      <c r="R15" s="1486">
        <f t="shared" si="17"/>
        <v>0.76906300000000005</v>
      </c>
      <c r="S15" s="1487">
        <f t="shared" si="13"/>
        <v>0.78181598230333194</v>
      </c>
      <c r="T15" s="1488">
        <f t="shared" si="14"/>
        <v>0.24099999999999999</v>
      </c>
      <c r="U15" s="1489">
        <f t="shared" si="15"/>
        <v>2.3935999999999999E-2</v>
      </c>
      <c r="V15" s="1438"/>
      <c r="W15" s="1767"/>
      <c r="X15" s="1744"/>
      <c r="Y15" s="1491">
        <f>Y14</f>
        <v>0.25258799999999998</v>
      </c>
      <c r="Z15" s="1492">
        <f t="shared" ref="Z15:AA15" si="18">Z14</f>
        <v>2.8632999999999999E-2</v>
      </c>
      <c r="AA15" s="1493">
        <f t="shared" si="18"/>
        <v>236</v>
      </c>
      <c r="AB15" s="1764"/>
      <c r="AC15" s="943" t="s">
        <v>508</v>
      </c>
      <c r="AD15" s="1000">
        <f>'P2P CF if Unit not available'!AJ37</f>
        <v>0.21291299999999999</v>
      </c>
      <c r="AE15" s="1501">
        <f>'P2P CF if Unit not available'!AK37</f>
        <v>5.5259000000000003E-2</v>
      </c>
      <c r="AF15" s="1401">
        <v>61</v>
      </c>
      <c r="AG15" s="1003" t="s">
        <v>999</v>
      </c>
      <c r="AH15" s="1761"/>
      <c r="AI15" s="1742"/>
      <c r="AJ15" s="1748"/>
      <c r="AK15" s="1741"/>
      <c r="AL15" s="1741"/>
      <c r="AM15" s="801" t="s">
        <v>511</v>
      </c>
      <c r="AN15" s="747">
        <f>$B10*F11*R11*$Y14*$AD15</f>
        <v>1.4023771042849197E-2</v>
      </c>
      <c r="AO15" s="747">
        <f>$B10*G11*S11*$Y14*$AD15</f>
        <v>1.7218041898160601E-2</v>
      </c>
      <c r="AP15" s="1552">
        <f>AN15*SQRT(IF($B$10&gt;0,($C$10/$B$10)^2,0)+IF($F$11&gt;0,($H$11/$F$11)^2,0)+IF(Y14&gt;0,(Z14/Y14)^2,0)+IF(AD15&gt;0,(AE15/AD15)^2,0))*100</f>
        <v>0.82062945896532768</v>
      </c>
      <c r="AQ15" s="1553">
        <f t="shared" si="3"/>
        <v>0.53317752585402078</v>
      </c>
      <c r="AR15" s="1546">
        <f t="shared" si="4"/>
        <v>1.3573211251286519</v>
      </c>
      <c r="AS15" s="1542">
        <f t="shared" si="0"/>
        <v>0.88187562776255035</v>
      </c>
      <c r="AT15" s="1193">
        <f>AF15</f>
        <v>61</v>
      </c>
      <c r="AU15" s="566"/>
      <c r="AX15" s="1583"/>
      <c r="AY15" s="1593"/>
      <c r="AZ15" s="1594"/>
      <c r="BA15" s="1605"/>
      <c r="BB15" s="1605"/>
      <c r="BC15" s="774" t="s">
        <v>511</v>
      </c>
      <c r="BD15" s="765">
        <f t="shared" si="1"/>
        <v>1.4023771042849197E-2</v>
      </c>
      <c r="BE15" s="825">
        <f t="shared" si="5"/>
        <v>0.82062945896532768</v>
      </c>
    </row>
    <row r="16" spans="1:57" ht="15.75" customHeight="1" thickBot="1">
      <c r="A16" s="1762"/>
      <c r="B16" s="1460">
        <f t="shared" si="6"/>
        <v>0.84017200000000003</v>
      </c>
      <c r="C16" s="1461">
        <f t="shared" si="7"/>
        <v>1.1528E-2</v>
      </c>
      <c r="D16" s="1462">
        <f t="shared" si="8"/>
        <v>1088</v>
      </c>
      <c r="E16" s="957"/>
      <c r="F16" s="1463">
        <f t="shared" si="16"/>
        <v>0.40357085746560761</v>
      </c>
      <c r="G16" s="1464">
        <f t="shared" si="9"/>
        <v>0.48741188932218765</v>
      </c>
      <c r="H16" s="1465">
        <f t="shared" si="10"/>
        <v>0.20658174742622759</v>
      </c>
      <c r="I16" s="1466">
        <f t="shared" si="11"/>
        <v>5.8803238954113303E-2</v>
      </c>
      <c r="J16" s="1467">
        <f t="shared" si="12"/>
        <v>848</v>
      </c>
      <c r="K16" s="957"/>
      <c r="L16" s="957"/>
      <c r="M16" s="1508">
        <v>0</v>
      </c>
      <c r="N16" s="1190"/>
      <c r="O16" s="957"/>
      <c r="P16" s="958"/>
      <c r="Q16" s="1447" t="s">
        <v>60</v>
      </c>
      <c r="R16" s="1434">
        <f>'P2P CF if Unit not available'!AI87</f>
        <v>0.21462500000000001</v>
      </c>
      <c r="S16" s="1435">
        <f>'P2P CF if Unit not available'!AN87</f>
        <v>0.21818401769666804</v>
      </c>
      <c r="T16" s="1431">
        <f>'P2P CF if Unit not available'!AJ85</f>
        <v>0.7</v>
      </c>
      <c r="U16" s="1430">
        <f>'P2P CF if Unit not available'!AJ87</f>
        <v>2.3292E-2</v>
      </c>
      <c r="V16" s="1436">
        <v>323</v>
      </c>
      <c r="W16" s="1765" t="s">
        <v>998</v>
      </c>
      <c r="X16" s="991" t="s">
        <v>72</v>
      </c>
      <c r="Y16" s="961">
        <f>'P2P CF if Unit not available'!BE11</f>
        <v>6.0277999999999998E-2</v>
      </c>
      <c r="Z16" s="962">
        <f>'P2P CF if Unit not available'!BF11</f>
        <v>2.9786E-2</v>
      </c>
      <c r="AA16" s="996">
        <v>67</v>
      </c>
      <c r="AB16" s="945" t="s">
        <v>997</v>
      </c>
      <c r="AC16" s="945"/>
      <c r="AD16" s="1506">
        <v>0</v>
      </c>
      <c r="AE16" s="1500"/>
      <c r="AF16" s="1399"/>
      <c r="AG16" s="946"/>
      <c r="AH16" s="1761"/>
      <c r="AI16" s="1742"/>
      <c r="AJ16" s="1748" t="s">
        <v>343</v>
      </c>
      <c r="AK16" s="1750" t="s">
        <v>344</v>
      </c>
      <c r="AL16" s="1750"/>
      <c r="AM16" s="1750"/>
      <c r="AN16" s="747">
        <f>$B10*F11*R16*$Y16</f>
        <v>4.3865910057667235E-3</v>
      </c>
      <c r="AO16" s="747">
        <f>$B10*G11*S16*$Y16</f>
        <v>5.3857487758899427E-3</v>
      </c>
      <c r="AP16" s="1552">
        <f>AN16*SQRT(IF($B$10&gt;0,($C$10/$B$10)^2,0)+IF($F$11&gt;0,($H$11/$F$11)^2,0)+IF(Y16&gt;0,(Z16/Y16)^2,0))*100</f>
        <v>0.31215528612774668</v>
      </c>
      <c r="AQ16" s="1553">
        <f t="shared" si="3"/>
        <v>0.28001631120868847</v>
      </c>
      <c r="AR16" s="1546">
        <f t="shared" si="4"/>
        <v>0.51630484325529302</v>
      </c>
      <c r="AS16" s="1542">
        <f t="shared" si="0"/>
        <v>0.46314697873917071</v>
      </c>
      <c r="AT16" s="1193">
        <f t="shared" ref="AT16:AT21" si="19">AA16</f>
        <v>67</v>
      </c>
      <c r="AU16" s="566"/>
      <c r="AX16" s="1583"/>
      <c r="AY16" s="1593"/>
      <c r="AZ16" s="1592" t="s">
        <v>343</v>
      </c>
      <c r="BA16" s="1575" t="s">
        <v>344</v>
      </c>
      <c r="BB16" s="1575"/>
      <c r="BC16" s="1575"/>
      <c r="BD16" s="765">
        <f t="shared" si="1"/>
        <v>4.3865910057667235E-3</v>
      </c>
      <c r="BE16" s="825">
        <f t="shared" si="5"/>
        <v>0.31215528612774668</v>
      </c>
    </row>
    <row r="17" spans="1:57" ht="18.75" customHeight="1" thickBot="1">
      <c r="A17" s="1762"/>
      <c r="B17" s="1460">
        <f t="shared" si="6"/>
        <v>0.84017200000000003</v>
      </c>
      <c r="C17" s="1461">
        <f t="shared" si="7"/>
        <v>1.1528E-2</v>
      </c>
      <c r="D17" s="1462">
        <f t="shared" si="8"/>
        <v>1088</v>
      </c>
      <c r="E17" s="957"/>
      <c r="F17" s="1463">
        <f t="shared" si="16"/>
        <v>0.40357085746560761</v>
      </c>
      <c r="G17" s="1464">
        <f t="shared" si="9"/>
        <v>0.48741188932218765</v>
      </c>
      <c r="H17" s="1465">
        <f t="shared" si="10"/>
        <v>0.20658174742622759</v>
      </c>
      <c r="I17" s="1466">
        <f t="shared" si="11"/>
        <v>5.8803238954113303E-2</v>
      </c>
      <c r="J17" s="1467">
        <f t="shared" si="12"/>
        <v>848</v>
      </c>
      <c r="K17" s="957"/>
      <c r="L17" s="957"/>
      <c r="M17" s="1508">
        <v>0</v>
      </c>
      <c r="N17" s="1190"/>
      <c r="O17" s="957"/>
      <c r="P17" s="958"/>
      <c r="Q17" s="1448"/>
      <c r="R17" s="1482">
        <f>R16</f>
        <v>0.21462500000000001</v>
      </c>
      <c r="S17" s="1483">
        <f t="shared" ref="S17" si="20">S16</f>
        <v>0.21818401769666804</v>
      </c>
      <c r="T17" s="1484">
        <f t="shared" ref="T17" si="21">T16</f>
        <v>0.7</v>
      </c>
      <c r="U17" s="1485">
        <f t="shared" ref="U17" si="22">U16</f>
        <v>2.3292E-2</v>
      </c>
      <c r="V17" s="1437"/>
      <c r="W17" s="1766"/>
      <c r="X17" s="991" t="s">
        <v>73</v>
      </c>
      <c r="Y17" s="961">
        <f>'P2P CF if Unit not available'!BE14</f>
        <v>0.275001</v>
      </c>
      <c r="Z17" s="962">
        <f>'P2P CF if Unit not available'!BF14</f>
        <v>5.7956000000000001E-2</v>
      </c>
      <c r="AA17" s="996">
        <v>67</v>
      </c>
      <c r="AB17" s="945" t="s">
        <v>997</v>
      </c>
      <c r="AC17" s="945"/>
      <c r="AD17" s="1506">
        <v>0</v>
      </c>
      <c r="AE17" s="1500"/>
      <c r="AF17" s="1399"/>
      <c r="AG17" s="946"/>
      <c r="AH17" s="1761"/>
      <c r="AI17" s="1742"/>
      <c r="AJ17" s="1748"/>
      <c r="AK17" s="1750" t="s">
        <v>345</v>
      </c>
      <c r="AL17" s="1750"/>
      <c r="AM17" s="1750"/>
      <c r="AN17" s="747">
        <f>$B10*F11*R16*$Y17</f>
        <v>2.0012557038668416E-2</v>
      </c>
      <c r="AO17" s="747">
        <f>$B10*G11*S16*$Y17</f>
        <v>2.4570926359841237E-2</v>
      </c>
      <c r="AP17" s="1552">
        <f>AN17*SQRT(IF($B$10&gt;0,($C$10/$B$10)^2,0)+IF($F$11&gt;0,($H$11/$F$11)^2,0)+IF(Y17&gt;0,(Z17/Y17)^2,0))*100</f>
        <v>1.1081772867721706</v>
      </c>
      <c r="AQ17" s="1553">
        <f t="shared" si="3"/>
        <v>0.6526551319127335</v>
      </c>
      <c r="AR17" s="1546">
        <f t="shared" si="4"/>
        <v>1.8329252323211702</v>
      </c>
      <c r="AS17" s="1542">
        <f t="shared" si="0"/>
        <v>1.0794915881836611</v>
      </c>
      <c r="AT17" s="1193">
        <f t="shared" si="19"/>
        <v>67</v>
      </c>
      <c r="AU17" s="566"/>
      <c r="AX17" s="1583"/>
      <c r="AY17" s="1593"/>
      <c r="AZ17" s="1593"/>
      <c r="BA17" s="1575" t="s">
        <v>345</v>
      </c>
      <c r="BB17" s="1575"/>
      <c r="BC17" s="1575"/>
      <c r="BD17" s="765">
        <f t="shared" si="1"/>
        <v>2.0012557038668416E-2</v>
      </c>
      <c r="BE17" s="825">
        <f t="shared" si="5"/>
        <v>1.1081772867721706</v>
      </c>
    </row>
    <row r="18" spans="1:57" ht="18.75" customHeight="1" thickBot="1">
      <c r="A18" s="1762"/>
      <c r="B18" s="1460">
        <f t="shared" si="6"/>
        <v>0.84017200000000003</v>
      </c>
      <c r="C18" s="1461">
        <f t="shared" si="7"/>
        <v>1.1528E-2</v>
      </c>
      <c r="D18" s="1462">
        <f t="shared" si="8"/>
        <v>1088</v>
      </c>
      <c r="E18" s="957"/>
      <c r="F18" s="1463">
        <f t="shared" si="16"/>
        <v>0.40357085746560761</v>
      </c>
      <c r="G18" s="1464">
        <f t="shared" si="9"/>
        <v>0.48741188932218765</v>
      </c>
      <c r="H18" s="1465">
        <f t="shared" si="10"/>
        <v>0.20658174742622759</v>
      </c>
      <c r="I18" s="1466">
        <f t="shared" si="11"/>
        <v>5.8803238954113303E-2</v>
      </c>
      <c r="J18" s="1467">
        <f t="shared" si="12"/>
        <v>848</v>
      </c>
      <c r="K18" s="957"/>
      <c r="L18" s="957"/>
      <c r="M18" s="1508">
        <v>0</v>
      </c>
      <c r="N18" s="1190"/>
      <c r="O18" s="957"/>
      <c r="P18" s="958"/>
      <c r="Q18" s="1448"/>
      <c r="R18" s="1482">
        <f t="shared" ref="R18:R19" si="23">R17</f>
        <v>0.21462500000000001</v>
      </c>
      <c r="S18" s="1483">
        <f t="shared" ref="S18:S19" si="24">S17</f>
        <v>0.21818401769666804</v>
      </c>
      <c r="T18" s="1484">
        <f t="shared" ref="T18:T19" si="25">T17</f>
        <v>0.7</v>
      </c>
      <c r="U18" s="1485">
        <f t="shared" ref="U18:U19" si="26">U17</f>
        <v>2.3292E-2</v>
      </c>
      <c r="V18" s="1437"/>
      <c r="W18" s="1766"/>
      <c r="X18" s="991" t="s">
        <v>74</v>
      </c>
      <c r="Y18" s="961">
        <f>'P2P CF if Unit not available'!BE12</f>
        <v>0.16534499999999999</v>
      </c>
      <c r="Z18" s="962">
        <f>'P2P CF if Unit not available'!BF12</f>
        <v>4.5196E-2</v>
      </c>
      <c r="AA18" s="996">
        <v>67</v>
      </c>
      <c r="AB18" s="945" t="s">
        <v>997</v>
      </c>
      <c r="AC18" s="945"/>
      <c r="AD18" s="1506">
        <v>0</v>
      </c>
      <c r="AE18" s="1500"/>
      <c r="AF18" s="1399"/>
      <c r="AG18" s="946"/>
      <c r="AH18" s="1761"/>
      <c r="AI18" s="1742"/>
      <c r="AJ18" s="1748"/>
      <c r="AK18" s="1750" t="s">
        <v>346</v>
      </c>
      <c r="AL18" s="1750"/>
      <c r="AM18" s="1750"/>
      <c r="AN18" s="747">
        <f>$B10*F11*R16*$Y18</f>
        <v>1.2032597130769086E-2</v>
      </c>
      <c r="AO18" s="747">
        <f>$B10*G11*S16*$Y18</f>
        <v>1.4773327438692765E-2</v>
      </c>
      <c r="AP18" s="1552">
        <f>AN18*SQRT(IF($B$10&gt;0,($C$10/$B$10)^2,0)+IF($F$11&gt;0,($H$11/$F$11)^2,0)+IF(Y18&gt;0,(Z18/Y18)^2,0))*100</f>
        <v>0.69844116090033626</v>
      </c>
      <c r="AQ18" s="1553">
        <f t="shared" si="3"/>
        <v>0.46916964906687542</v>
      </c>
      <c r="AR18" s="1546">
        <f t="shared" si="4"/>
        <v>1.1552216801291562</v>
      </c>
      <c r="AS18" s="1542">
        <f t="shared" si="0"/>
        <v>0.77600659955661189</v>
      </c>
      <c r="AT18" s="1193">
        <f t="shared" si="19"/>
        <v>67</v>
      </c>
      <c r="AU18" s="566"/>
      <c r="AX18" s="1583"/>
      <c r="AY18" s="1593"/>
      <c r="AZ18" s="1593"/>
      <c r="BA18" s="1575" t="s">
        <v>346</v>
      </c>
      <c r="BB18" s="1575"/>
      <c r="BC18" s="1575"/>
      <c r="BD18" s="765">
        <f t="shared" si="1"/>
        <v>1.2032597130769086E-2</v>
      </c>
      <c r="BE18" s="825">
        <f t="shared" si="5"/>
        <v>0.69844116090033626</v>
      </c>
    </row>
    <row r="19" spans="1:57" ht="28.5" customHeight="1" thickBot="1">
      <c r="A19" s="954"/>
      <c r="B19" s="1460">
        <f t="shared" si="6"/>
        <v>0.84017200000000003</v>
      </c>
      <c r="C19" s="1461">
        <f t="shared" si="7"/>
        <v>1.1528E-2</v>
      </c>
      <c r="D19" s="1462">
        <f t="shared" si="8"/>
        <v>1088</v>
      </c>
      <c r="E19" s="959"/>
      <c r="F19" s="1468">
        <f t="shared" si="16"/>
        <v>0.40357085746560761</v>
      </c>
      <c r="G19" s="1469">
        <f t="shared" si="9"/>
        <v>0.48741188932218765</v>
      </c>
      <c r="H19" s="1470">
        <f t="shared" si="10"/>
        <v>0.20658174742622759</v>
      </c>
      <c r="I19" s="1471">
        <f t="shared" si="11"/>
        <v>5.8803238954113303E-2</v>
      </c>
      <c r="J19" s="1472">
        <f t="shared" si="12"/>
        <v>848</v>
      </c>
      <c r="K19" s="959"/>
      <c r="L19" s="959"/>
      <c r="M19" s="1509">
        <v>0</v>
      </c>
      <c r="N19" s="1191"/>
      <c r="O19" s="959"/>
      <c r="P19" s="960"/>
      <c r="Q19" s="1449"/>
      <c r="R19" s="1482">
        <f t="shared" si="23"/>
        <v>0.21462500000000001</v>
      </c>
      <c r="S19" s="1483">
        <f t="shared" si="24"/>
        <v>0.21818401769666804</v>
      </c>
      <c r="T19" s="1484">
        <f t="shared" si="25"/>
        <v>0.7</v>
      </c>
      <c r="U19" s="1485">
        <f t="shared" si="26"/>
        <v>2.3292E-2</v>
      </c>
      <c r="V19" s="1438"/>
      <c r="W19" s="1767"/>
      <c r="X19" s="991" t="s">
        <v>76</v>
      </c>
      <c r="Y19" s="961">
        <f>'P2P CF if Unit not available'!BE13</f>
        <v>0.49937599999999999</v>
      </c>
      <c r="Z19" s="962">
        <f>'P2P CF if Unit not available'!BF13</f>
        <v>6.3030000000000003E-2</v>
      </c>
      <c r="AA19" s="996">
        <v>67</v>
      </c>
      <c r="AB19" s="945" t="s">
        <v>997</v>
      </c>
      <c r="AC19" s="945"/>
      <c r="AD19" s="1506">
        <v>0</v>
      </c>
      <c r="AE19" s="1500"/>
      <c r="AF19" s="1399"/>
      <c r="AG19" s="946"/>
      <c r="AH19" s="1761"/>
      <c r="AI19" s="1742"/>
      <c r="AJ19" s="1748"/>
      <c r="AK19" s="1750" t="s">
        <v>347</v>
      </c>
      <c r="AL19" s="1750"/>
      <c r="AM19" s="1750"/>
      <c r="AN19" s="747">
        <f>$B10*F11*R16*$Y19</f>
        <v>3.6340924882971623E-2</v>
      </c>
      <c r="AO19" s="747">
        <f>$B10*G11*S16*$Y19</f>
        <v>4.4618495648641558E-2</v>
      </c>
      <c r="AP19" s="1552">
        <f>AN19*SQRT(IF($B$10&gt;0,($C$10/$B$10)^2,0)+IF($F$11&gt;0,($H$11/$F$11)^2,0)+IF(Y19&gt;0,(Z19/Y19)^2,0))*100</f>
        <v>1.91660078991883</v>
      </c>
      <c r="AQ19" s="1553">
        <f t="shared" si="3"/>
        <v>0.91517378017411966</v>
      </c>
      <c r="AR19" s="1546">
        <f t="shared" si="4"/>
        <v>3.1700577065257445</v>
      </c>
      <c r="AS19" s="1542">
        <f t="shared" si="0"/>
        <v>1.5136974324079939</v>
      </c>
      <c r="AT19" s="1193">
        <f t="shared" si="19"/>
        <v>67</v>
      </c>
      <c r="AU19" s="566"/>
      <c r="AX19" s="1583"/>
      <c r="AY19" s="1594"/>
      <c r="AZ19" s="1594"/>
      <c r="BA19" s="1575" t="s">
        <v>347</v>
      </c>
      <c r="BB19" s="1575"/>
      <c r="BC19" s="1575"/>
      <c r="BD19" s="765">
        <f t="shared" si="1"/>
        <v>3.6340924882971623E-2</v>
      </c>
      <c r="BE19" s="825">
        <f t="shared" si="5"/>
        <v>1.91660078991883</v>
      </c>
    </row>
    <row r="20" spans="1:57" ht="26.25" customHeight="1" thickBot="1">
      <c r="A20" s="954"/>
      <c r="B20" s="1460">
        <f t="shared" si="6"/>
        <v>0.84017200000000003</v>
      </c>
      <c r="C20" s="1461">
        <f t="shared" si="7"/>
        <v>1.1528E-2</v>
      </c>
      <c r="D20" s="1462">
        <f t="shared" si="8"/>
        <v>1088</v>
      </c>
      <c r="E20" s="1393" t="s">
        <v>61</v>
      </c>
      <c r="F20" s="1394">
        <f>SecMktVolume!F126</f>
        <v>0.38037914253439242</v>
      </c>
      <c r="G20" s="1425">
        <f>SecMktVolume!J126</f>
        <v>0.29653811067781233</v>
      </c>
      <c r="H20" s="1405">
        <f>SecMktVolume!G126</f>
        <v>0.20230457995970752</v>
      </c>
      <c r="I20" s="1426">
        <f>SecMktVolume!K126</f>
        <v>4.1339395429717506E-2</v>
      </c>
      <c r="J20" s="1395">
        <v>848</v>
      </c>
      <c r="K20" s="1473" t="s">
        <v>995</v>
      </c>
      <c r="L20" s="1453" t="s">
        <v>54</v>
      </c>
      <c r="M20" s="1433">
        <f>SecMktProportions!S5</f>
        <v>0.57240100000000005</v>
      </c>
      <c r="N20" s="1432">
        <f>SecMktProportions!G6</f>
        <v>0.33073000000000002</v>
      </c>
      <c r="O20" s="1454">
        <f>SecMktProportions!D6</f>
        <v>42</v>
      </c>
      <c r="P20" s="1771" t="s">
        <v>65</v>
      </c>
      <c r="Q20" s="1447" t="s">
        <v>59</v>
      </c>
      <c r="R20" s="1439">
        <f>'Ret CF if Unit not available'!AH82</f>
        <v>0.91356300000000001</v>
      </c>
      <c r="S20" s="1439">
        <f>R20</f>
        <v>0.91356300000000001</v>
      </c>
      <c r="T20" s="1431">
        <f>'Ret CF if Unit not available'!AI82</f>
        <v>2.5649999999999999E-2</v>
      </c>
      <c r="U20" s="1431">
        <f>T20</f>
        <v>2.5649999999999999E-2</v>
      </c>
      <c r="V20" s="1440">
        <v>125</v>
      </c>
      <c r="W20" s="1768" t="s">
        <v>998</v>
      </c>
      <c r="X20" s="991" t="s">
        <v>77</v>
      </c>
      <c r="Y20" s="961">
        <f>'Ret CF if Unit not available'!AS13</f>
        <v>0.44458300000000001</v>
      </c>
      <c r="Z20" s="962">
        <f>'Ret CF if Unit not available'!AT13</f>
        <v>4.9771000000000003E-2</v>
      </c>
      <c r="AA20" s="996">
        <v>105</v>
      </c>
      <c r="AB20" s="944" t="s">
        <v>997</v>
      </c>
      <c r="AC20" s="945"/>
      <c r="AD20" s="1506">
        <v>0</v>
      </c>
      <c r="AE20" s="1500"/>
      <c r="AF20" s="1399"/>
      <c r="AG20" s="946"/>
      <c r="AH20" s="1761"/>
      <c r="AI20" s="1742" t="s">
        <v>88</v>
      </c>
      <c r="AJ20" s="1746" t="s">
        <v>348</v>
      </c>
      <c r="AK20" s="1748" t="s">
        <v>342</v>
      </c>
      <c r="AL20" s="1750" t="s">
        <v>345</v>
      </c>
      <c r="AM20" s="1750"/>
      <c r="AN20" s="747">
        <f>$B10*F20*$M20*R20*$Y20</f>
        <v>7.4297916790629318E-2</v>
      </c>
      <c r="AO20" s="747">
        <f>$B10*G20*$M20*S20*$Y20</f>
        <v>5.7921587723223984E-2</v>
      </c>
      <c r="AP20" s="1552">
        <f>AN20*SQRT(IF($B$10&gt;0,($C$10/$B$10)^2,0)+IF($F$20&gt;0,($H$20/$F$20)^2,0)+IF($M$20&gt;0,($N$20/$M$20)^2,0)+IF(Y20&gt;0,(Z20/Y20)^2,0))*100</f>
        <v>5.8945527307264713</v>
      </c>
      <c r="AQ20" s="1553">
        <f t="shared" si="3"/>
        <v>3.5079149465461894</v>
      </c>
      <c r="AR20" s="1546">
        <f t="shared" si="4"/>
        <v>9.7495902166215824</v>
      </c>
      <c r="AS20" s="1542">
        <f t="shared" si="0"/>
        <v>5.8020913215873966</v>
      </c>
      <c r="AT20" s="1193">
        <f t="shared" si="19"/>
        <v>105</v>
      </c>
      <c r="AU20" s="566"/>
      <c r="AX20" s="1583"/>
      <c r="AY20" s="1592" t="s">
        <v>88</v>
      </c>
      <c r="AZ20" s="1583" t="s">
        <v>348</v>
      </c>
      <c r="BA20" s="1592" t="s">
        <v>342</v>
      </c>
      <c r="BB20" s="1584" t="s">
        <v>345</v>
      </c>
      <c r="BC20" s="1586"/>
      <c r="BD20" s="765">
        <f t="shared" si="1"/>
        <v>7.4297916790629318E-2</v>
      </c>
      <c r="BE20" s="825">
        <f t="shared" si="5"/>
        <v>5.8945527307264713</v>
      </c>
    </row>
    <row r="21" spans="1:57" ht="15" thickBot="1">
      <c r="A21" s="954"/>
      <c r="B21" s="1460">
        <f t="shared" si="6"/>
        <v>0.84017200000000003</v>
      </c>
      <c r="C21" s="1461">
        <f t="shared" si="7"/>
        <v>1.1528E-2</v>
      </c>
      <c r="D21" s="1462">
        <f t="shared" si="8"/>
        <v>1088</v>
      </c>
      <c r="E21" s="963"/>
      <c r="F21" s="1463">
        <f>F20</f>
        <v>0.38037914253439242</v>
      </c>
      <c r="G21" s="1464">
        <f t="shared" ref="G21" si="27">G20</f>
        <v>0.29653811067781233</v>
      </c>
      <c r="H21" s="1465">
        <f t="shared" ref="H21" si="28">H20</f>
        <v>0.20230457995970752</v>
      </c>
      <c r="I21" s="1466">
        <f t="shared" ref="I21" si="29">I20</f>
        <v>4.1339395429717506E-2</v>
      </c>
      <c r="J21" s="1467">
        <f t="shared" ref="J21" si="30">J20</f>
        <v>848</v>
      </c>
      <c r="K21" s="1474"/>
      <c r="L21" s="1455"/>
      <c r="M21" s="1476">
        <f>M20</f>
        <v>0.57240100000000005</v>
      </c>
      <c r="N21" s="1477">
        <f t="shared" ref="N21:N26" si="31">N20</f>
        <v>0.33073000000000002</v>
      </c>
      <c r="O21" s="1478">
        <f t="shared" ref="O21:O26" si="32">O20</f>
        <v>42</v>
      </c>
      <c r="P21" s="1772"/>
      <c r="Q21" s="1448"/>
      <c r="R21" s="1482">
        <f>R20</f>
        <v>0.91356300000000001</v>
      </c>
      <c r="S21" s="1483">
        <f t="shared" ref="S21:S23" si="33">S20</f>
        <v>0.91356300000000001</v>
      </c>
      <c r="T21" s="1484">
        <f t="shared" ref="T21:T23" si="34">T20</f>
        <v>2.5649999999999999E-2</v>
      </c>
      <c r="U21" s="1485">
        <f t="shared" ref="U21:U23" si="35">U20</f>
        <v>2.5649999999999999E-2</v>
      </c>
      <c r="V21" s="1441"/>
      <c r="W21" s="1769"/>
      <c r="X21" s="991" t="s">
        <v>74</v>
      </c>
      <c r="Y21" s="961">
        <f>'Ret CF if Unit not available'!AS11</f>
        <v>0.34078700000000001</v>
      </c>
      <c r="Z21" s="962">
        <f>'Ret CF if Unit not available'!AT11</f>
        <v>4.7517999999999998E-2</v>
      </c>
      <c r="AA21" s="996">
        <v>105</v>
      </c>
      <c r="AB21" s="944" t="s">
        <v>997</v>
      </c>
      <c r="AC21" s="945"/>
      <c r="AD21" s="1506">
        <v>0</v>
      </c>
      <c r="AE21" s="1500"/>
      <c r="AF21" s="1399"/>
      <c r="AG21" s="946"/>
      <c r="AH21" s="1761"/>
      <c r="AI21" s="1742"/>
      <c r="AJ21" s="1746"/>
      <c r="AK21" s="1748"/>
      <c r="AL21" s="1747" t="s">
        <v>346</v>
      </c>
      <c r="AM21" s="1747"/>
      <c r="AN21" s="747">
        <f>$B10*F20*$M20*R20*$Y21</f>
        <v>5.6951714683935721E-2</v>
      </c>
      <c r="AO21" s="747">
        <f>$B10*G20*$M20*S20*$Y21</f>
        <v>4.4398737953170342E-2</v>
      </c>
      <c r="AP21" s="1552">
        <f>AN21*SQRT(IF($B$10&gt;0,($C$10/$B$10)^2,0)+IF($F$20&gt;0,($H$20/$F$20)^2,0)+IF($M$20&gt;0,($N$20/$M$20)^2,0)+IF(Y21&gt;0,(Z21/Y21)^2,0))*100</f>
        <v>4.5430947206500267</v>
      </c>
      <c r="AQ21" s="1553">
        <f t="shared" si="3"/>
        <v>2.7141373799832875</v>
      </c>
      <c r="AR21" s="1546">
        <f t="shared" si="4"/>
        <v>7.5142786679551437</v>
      </c>
      <c r="AS21" s="1542">
        <f t="shared" si="0"/>
        <v>4.489183226492357</v>
      </c>
      <c r="AT21" s="1193">
        <f t="shared" si="19"/>
        <v>105</v>
      </c>
      <c r="AU21" s="566"/>
      <c r="AX21" s="1583"/>
      <c r="AY21" s="1593"/>
      <c r="AZ21" s="1583"/>
      <c r="BA21" s="1593"/>
      <c r="BB21" s="1587" t="s">
        <v>346</v>
      </c>
      <c r="BC21" s="1587"/>
      <c r="BD21" s="765">
        <f t="shared" si="1"/>
        <v>5.6951714683935721E-2</v>
      </c>
      <c r="BE21" s="825">
        <f t="shared" si="5"/>
        <v>4.5430947206500267</v>
      </c>
    </row>
    <row r="22" spans="1:57" ht="24.6" thickBot="1">
      <c r="A22" s="954"/>
      <c r="B22" s="1460">
        <f t="shared" si="6"/>
        <v>0.84017200000000003</v>
      </c>
      <c r="C22" s="1461">
        <f t="shared" si="7"/>
        <v>1.1528E-2</v>
      </c>
      <c r="D22" s="1462">
        <f t="shared" si="8"/>
        <v>1088</v>
      </c>
      <c r="E22" s="963"/>
      <c r="F22" s="1463">
        <f t="shared" ref="F22:F30" si="36">F21</f>
        <v>0.38037914253439242</v>
      </c>
      <c r="G22" s="1464">
        <f t="shared" ref="G22:G30" si="37">G21</f>
        <v>0.29653811067781233</v>
      </c>
      <c r="H22" s="1465">
        <f t="shared" ref="H22:H30" si="38">H21</f>
        <v>0.20230457995970752</v>
      </c>
      <c r="I22" s="1466">
        <f t="shared" ref="I22:I30" si="39">I21</f>
        <v>4.1339395429717506E-2</v>
      </c>
      <c r="J22" s="1467">
        <f t="shared" ref="J22:J30" si="40">J21</f>
        <v>848</v>
      </c>
      <c r="K22" s="1474"/>
      <c r="L22" s="1455"/>
      <c r="M22" s="1476">
        <f t="shared" ref="M22:M26" si="41">M21</f>
        <v>0.57240100000000005</v>
      </c>
      <c r="N22" s="1477">
        <f t="shared" si="31"/>
        <v>0.33073000000000002</v>
      </c>
      <c r="O22" s="1478">
        <f t="shared" si="32"/>
        <v>42</v>
      </c>
      <c r="P22" s="1772"/>
      <c r="Q22" s="1448"/>
      <c r="R22" s="1482">
        <f t="shared" ref="R22:R23" si="42">R21</f>
        <v>0.91356300000000001</v>
      </c>
      <c r="S22" s="1483">
        <f t="shared" si="33"/>
        <v>0.91356300000000001</v>
      </c>
      <c r="T22" s="1484">
        <f t="shared" si="34"/>
        <v>2.5649999999999999E-2</v>
      </c>
      <c r="U22" s="1485">
        <f t="shared" si="35"/>
        <v>2.5649999999999999E-2</v>
      </c>
      <c r="V22" s="1441"/>
      <c r="W22" s="1769"/>
      <c r="X22" s="1743" t="s">
        <v>75</v>
      </c>
      <c r="Y22" s="1439">
        <f>'Ret CF if Unit not available'!AS12</f>
        <v>0.21462999999999999</v>
      </c>
      <c r="Z22" s="1490">
        <f>'Ret CF if Unit not available'!AT12</f>
        <v>4.1541000000000002E-2</v>
      </c>
      <c r="AA22" s="1409">
        <v>105</v>
      </c>
      <c r="AB22" s="1763" t="s">
        <v>997</v>
      </c>
      <c r="AC22" s="947" t="s">
        <v>509</v>
      </c>
      <c r="AD22" s="1000">
        <f>'Ret CF if Unit not available'!Y35</f>
        <v>0.91933399999999998</v>
      </c>
      <c r="AE22" s="1501">
        <f>'Ret CF if Unit not available'!Z35</f>
        <v>5.6693E-2</v>
      </c>
      <c r="AF22" s="1401">
        <v>22</v>
      </c>
      <c r="AG22" s="1003" t="s">
        <v>999</v>
      </c>
      <c r="AH22" s="1761"/>
      <c r="AI22" s="1742"/>
      <c r="AJ22" s="1746"/>
      <c r="AK22" s="1748"/>
      <c r="AL22" s="1741" t="s">
        <v>495</v>
      </c>
      <c r="AM22" s="801" t="s">
        <v>509</v>
      </c>
      <c r="AN22" s="747">
        <f>$B10*F20*$M20*R20*$Y22*$AD22</f>
        <v>3.297520714939247E-2</v>
      </c>
      <c r="AO22" s="747">
        <f>$B10*G20*$M20*S20*$Y22*$AD22</f>
        <v>2.5706997397750869E-2</v>
      </c>
      <c r="AP22" s="1552">
        <f>AN22*SQRT(IF($B$10&gt;0,($C$10/$B$10)^2,0)+IF($F$20&gt;0,($H$20/$F$20)^2,0)+IF($M$20&gt;0,($N$20/$M$20)^2,0)+IF(Y22&gt;0,(Z22/Y22)^2,0)+IF(AD22&gt;0,(AE22/AD22)^2,0))*100</f>
        <v>2.6751857303164588</v>
      </c>
      <c r="AQ22" s="1553">
        <f t="shared" si="3"/>
        <v>1.6167234993604311</v>
      </c>
      <c r="AR22" s="1546">
        <f t="shared" si="4"/>
        <v>4.424757197943423</v>
      </c>
      <c r="AS22" s="1542">
        <f t="shared" si="0"/>
        <v>2.674060667942153</v>
      </c>
      <c r="AT22" s="1193">
        <f>AF22</f>
        <v>22</v>
      </c>
      <c r="AU22" s="566"/>
      <c r="AX22" s="1583"/>
      <c r="AY22" s="1593"/>
      <c r="AZ22" s="1583"/>
      <c r="BA22" s="1593"/>
      <c r="BB22" s="1595" t="s">
        <v>495</v>
      </c>
      <c r="BC22" s="774" t="s">
        <v>509</v>
      </c>
      <c r="BD22" s="765">
        <f t="shared" si="1"/>
        <v>3.297520714939247E-2</v>
      </c>
      <c r="BE22" s="825">
        <f t="shared" si="5"/>
        <v>2.6751857303164588</v>
      </c>
    </row>
    <row r="23" spans="1:57" ht="15" thickBot="1">
      <c r="A23" s="954"/>
      <c r="B23" s="1460">
        <f t="shared" si="6"/>
        <v>0.84017200000000003</v>
      </c>
      <c r="C23" s="1461">
        <f t="shared" si="7"/>
        <v>1.1528E-2</v>
      </c>
      <c r="D23" s="1462">
        <f t="shared" si="8"/>
        <v>1088</v>
      </c>
      <c r="E23" s="963"/>
      <c r="F23" s="1463">
        <f t="shared" si="36"/>
        <v>0.38037914253439242</v>
      </c>
      <c r="G23" s="1464">
        <f t="shared" si="37"/>
        <v>0.29653811067781233</v>
      </c>
      <c r="H23" s="1465">
        <f t="shared" si="38"/>
        <v>0.20230457995970752</v>
      </c>
      <c r="I23" s="1466">
        <f t="shared" si="39"/>
        <v>4.1339395429717506E-2</v>
      </c>
      <c r="J23" s="1467">
        <f t="shared" si="40"/>
        <v>848</v>
      </c>
      <c r="K23" s="1474"/>
      <c r="L23" s="1455"/>
      <c r="M23" s="1476">
        <f t="shared" si="41"/>
        <v>0.57240100000000005</v>
      </c>
      <c r="N23" s="1477">
        <f t="shared" si="31"/>
        <v>0.33073000000000002</v>
      </c>
      <c r="O23" s="1478">
        <f t="shared" si="32"/>
        <v>42</v>
      </c>
      <c r="P23" s="1772"/>
      <c r="Q23" s="1449"/>
      <c r="R23" s="1482">
        <f t="shared" si="42"/>
        <v>0.91356300000000001</v>
      </c>
      <c r="S23" s="1483">
        <f t="shared" si="33"/>
        <v>0.91356300000000001</v>
      </c>
      <c r="T23" s="1484">
        <f t="shared" si="34"/>
        <v>2.5649999999999999E-2</v>
      </c>
      <c r="U23" s="1485">
        <f t="shared" si="35"/>
        <v>2.5649999999999999E-2</v>
      </c>
      <c r="V23" s="1442"/>
      <c r="W23" s="1770"/>
      <c r="X23" s="1744"/>
      <c r="Y23" s="1491">
        <f>Y22</f>
        <v>0.21462999999999999</v>
      </c>
      <c r="Z23" s="1492">
        <f t="shared" ref="Z23" si="43">Z22</f>
        <v>4.1541000000000002E-2</v>
      </c>
      <c r="AA23" s="1493">
        <f t="shared" ref="AA23" si="44">AA22</f>
        <v>105</v>
      </c>
      <c r="AB23" s="1764"/>
      <c r="AC23" s="943" t="s">
        <v>508</v>
      </c>
      <c r="AD23" s="1000">
        <f>'Ret CF if Unit not available'!Y34</f>
        <v>8.0666000000000002E-2</v>
      </c>
      <c r="AE23" s="1501">
        <f>'Ret CF if Unit not available'!Z34</f>
        <v>5.6693E-2</v>
      </c>
      <c r="AF23" s="1401">
        <v>22</v>
      </c>
      <c r="AG23" s="1003" t="s">
        <v>999</v>
      </c>
      <c r="AH23" s="1761"/>
      <c r="AI23" s="1742"/>
      <c r="AJ23" s="1746"/>
      <c r="AK23" s="1748"/>
      <c r="AL23" s="1741"/>
      <c r="AM23" s="801" t="s">
        <v>511</v>
      </c>
      <c r="AN23" s="747">
        <f>$B10*F20*$M20*R20*$Y22*$AD23</f>
        <v>2.8933750518450236E-3</v>
      </c>
      <c r="AO23" s="747">
        <f>$B10*G20*$M20*S20*$Y22*$AD23</f>
        <v>2.2556335913682859E-3</v>
      </c>
      <c r="AP23" s="1552">
        <f>AN23*SQRT(IF($B$10&gt;0,($C$10/$B$10)^2,0)+IF($F$20&gt;0,($H$20/$F$20)^2,0)+IF($M$20&gt;0,($N$20/$M$20)^2,0)+IF(Y22&gt;0,(Z22/Y22)^2,0)+IF(AD23&gt;0,(AE23/AD23)^2,0))*100</f>
        <v>0.31005092682723129</v>
      </c>
      <c r="AQ23" s="1553">
        <f t="shared" si="3"/>
        <v>0.21227676218676839</v>
      </c>
      <c r="AR23" s="1546">
        <f t="shared" si="4"/>
        <v>0.51282423297224056</v>
      </c>
      <c r="AS23" s="1542">
        <f t="shared" si="0"/>
        <v>0.3511057646569149</v>
      </c>
      <c r="AT23" s="1193">
        <f>AF23</f>
        <v>22</v>
      </c>
      <c r="AU23" s="566"/>
      <c r="AX23" s="1583"/>
      <c r="AY23" s="1593"/>
      <c r="AZ23" s="1583"/>
      <c r="BA23" s="1594"/>
      <c r="BB23" s="1596"/>
      <c r="BC23" s="774" t="s">
        <v>511</v>
      </c>
      <c r="BD23" s="765">
        <f t="shared" si="1"/>
        <v>2.8933750518450236E-3</v>
      </c>
      <c r="BE23" s="825">
        <f t="shared" si="5"/>
        <v>0.31005092682723129</v>
      </c>
    </row>
    <row r="24" spans="1:57" ht="24" customHeight="1" thickBot="1">
      <c r="A24" s="954"/>
      <c r="B24" s="1460">
        <f t="shared" si="6"/>
        <v>0.84017200000000003</v>
      </c>
      <c r="C24" s="1461">
        <f t="shared" si="7"/>
        <v>1.1528E-2</v>
      </c>
      <c r="D24" s="1462">
        <f t="shared" si="8"/>
        <v>1088</v>
      </c>
      <c r="E24" s="963"/>
      <c r="F24" s="1463">
        <f t="shared" si="36"/>
        <v>0.38037914253439242</v>
      </c>
      <c r="G24" s="1464">
        <f t="shared" si="37"/>
        <v>0.29653811067781233</v>
      </c>
      <c r="H24" s="1465">
        <f t="shared" si="38"/>
        <v>0.20230457995970752</v>
      </c>
      <c r="I24" s="1466">
        <f t="shared" si="39"/>
        <v>4.1339395429717506E-2</v>
      </c>
      <c r="J24" s="1467">
        <f t="shared" si="40"/>
        <v>848</v>
      </c>
      <c r="K24" s="1474"/>
      <c r="L24" s="1455"/>
      <c r="M24" s="1476">
        <f t="shared" si="41"/>
        <v>0.57240100000000005</v>
      </c>
      <c r="N24" s="1477">
        <f t="shared" si="31"/>
        <v>0.33073000000000002</v>
      </c>
      <c r="O24" s="1478">
        <f t="shared" si="32"/>
        <v>42</v>
      </c>
      <c r="P24" s="1772"/>
      <c r="Q24" s="1450" t="s">
        <v>60</v>
      </c>
      <c r="R24" s="1443">
        <f>'Ret CF if Unit not available'!AH83</f>
        <v>8.6437E-2</v>
      </c>
      <c r="S24" s="1443">
        <f>R24</f>
        <v>8.6437E-2</v>
      </c>
      <c r="T24" s="1431">
        <f>'Ret CF if Unit not available'!AI83</f>
        <v>2.5649999999999999E-2</v>
      </c>
      <c r="U24" s="1431">
        <f>T24</f>
        <v>2.5649999999999999E-2</v>
      </c>
      <c r="V24" s="1444">
        <v>125</v>
      </c>
      <c r="W24" s="1758" t="s">
        <v>998</v>
      </c>
      <c r="X24" s="992" t="s">
        <v>77</v>
      </c>
      <c r="Y24" s="974">
        <f>'Ret CF if Unit not available'!BB13</f>
        <v>0.58930199999999999</v>
      </c>
      <c r="Z24" s="975">
        <f>'Ret CF if Unit not available'!BC13</f>
        <v>0.157001</v>
      </c>
      <c r="AA24" s="998">
        <v>11</v>
      </c>
      <c r="AB24" s="976" t="s">
        <v>997</v>
      </c>
      <c r="AC24" s="976"/>
      <c r="AD24" s="1506">
        <v>0</v>
      </c>
      <c r="AE24" s="1502"/>
      <c r="AF24" s="976"/>
      <c r="AG24" s="977"/>
      <c r="AH24" s="1761"/>
      <c r="AI24" s="1742"/>
      <c r="AJ24" s="1746"/>
      <c r="AK24" s="1748" t="s">
        <v>343</v>
      </c>
      <c r="AL24" s="1747" t="s">
        <v>345</v>
      </c>
      <c r="AM24" s="1747"/>
      <c r="AN24" s="747">
        <f>$B10*F20*$M20*R24*$Y24</f>
        <v>9.318003797670742E-3</v>
      </c>
      <c r="AO24" s="747">
        <f>$B10*G20*$M20*S24*$Y24</f>
        <v>7.2641817925127939E-3</v>
      </c>
      <c r="AP24" s="1552">
        <f>AN24*SQRT(IF($B$10&gt;0,($C$10/$B$10)^2,0)+IF($F$20&gt;0,($H$20/$F$20)^2,0)+IF($M$20&gt;0,($N$20/$M$20)^2,0)+IF(Y24&gt;0,(Z24/Y24)^2,0))*100</f>
        <v>0.77282016983257151</v>
      </c>
      <c r="AQ24" s="1553">
        <f t="shared" si="3"/>
        <v>0.52003975506068101</v>
      </c>
      <c r="AR24" s="1546">
        <f t="shared" si="4"/>
        <v>1.2782445609030733</v>
      </c>
      <c r="AS24" s="1542">
        <f t="shared" si="0"/>
        <v>0.86014575487036637</v>
      </c>
      <c r="AT24" s="1193">
        <f>AA24</f>
        <v>11</v>
      </c>
      <c r="AU24" s="566"/>
      <c r="AX24" s="1583"/>
      <c r="AY24" s="1593"/>
      <c r="AZ24" s="1583"/>
      <c r="BA24" s="1597" t="s">
        <v>343</v>
      </c>
      <c r="BB24" s="1600" t="s">
        <v>345</v>
      </c>
      <c r="BC24" s="1601"/>
      <c r="BD24" s="765">
        <f t="shared" si="1"/>
        <v>9.318003797670742E-3</v>
      </c>
      <c r="BE24" s="825">
        <f t="shared" si="5"/>
        <v>0.77282016983257151</v>
      </c>
    </row>
    <row r="25" spans="1:57" ht="15" thickBot="1">
      <c r="A25" s="954"/>
      <c r="B25" s="1460">
        <f t="shared" si="6"/>
        <v>0.84017200000000003</v>
      </c>
      <c r="C25" s="1461">
        <f t="shared" si="7"/>
        <v>1.1528E-2</v>
      </c>
      <c r="D25" s="1462">
        <f t="shared" si="8"/>
        <v>1088</v>
      </c>
      <c r="E25" s="963"/>
      <c r="F25" s="1463">
        <f t="shared" si="36"/>
        <v>0.38037914253439242</v>
      </c>
      <c r="G25" s="1464">
        <f t="shared" si="37"/>
        <v>0.29653811067781233</v>
      </c>
      <c r="H25" s="1465">
        <f t="shared" si="38"/>
        <v>0.20230457995970752</v>
      </c>
      <c r="I25" s="1466">
        <f t="shared" si="39"/>
        <v>4.1339395429717506E-2</v>
      </c>
      <c r="J25" s="1467">
        <f t="shared" si="40"/>
        <v>848</v>
      </c>
      <c r="K25" s="1474"/>
      <c r="L25" s="1455"/>
      <c r="M25" s="1476">
        <f t="shared" si="41"/>
        <v>0.57240100000000005</v>
      </c>
      <c r="N25" s="1477">
        <f t="shared" si="31"/>
        <v>0.33073000000000002</v>
      </c>
      <c r="O25" s="1478">
        <f t="shared" si="32"/>
        <v>42</v>
      </c>
      <c r="P25" s="1772"/>
      <c r="Q25" s="1451"/>
      <c r="R25" s="1482">
        <f>R24</f>
        <v>8.6437E-2</v>
      </c>
      <c r="S25" s="1483">
        <f t="shared" ref="S25:S26" si="45">S24</f>
        <v>8.6437E-2</v>
      </c>
      <c r="T25" s="1484">
        <f t="shared" ref="T25:T26" si="46">T24</f>
        <v>2.5649999999999999E-2</v>
      </c>
      <c r="U25" s="1485">
        <f t="shared" ref="U25:U26" si="47">U24</f>
        <v>2.5649999999999999E-2</v>
      </c>
      <c r="V25" s="1445"/>
      <c r="W25" s="1759"/>
      <c r="X25" s="992" t="s">
        <v>74</v>
      </c>
      <c r="Y25" s="974">
        <f>'Ret CF if Unit not available'!BB11</f>
        <v>0.33581100000000003</v>
      </c>
      <c r="Z25" s="975">
        <f>'Ret CF if Unit not available'!BC11</f>
        <v>0.15021999999999999</v>
      </c>
      <c r="AA25" s="998">
        <v>11</v>
      </c>
      <c r="AB25" s="976" t="s">
        <v>997</v>
      </c>
      <c r="AC25" s="976"/>
      <c r="AD25" s="1506">
        <v>0</v>
      </c>
      <c r="AE25" s="1502"/>
      <c r="AF25" s="976"/>
      <c r="AG25" s="977"/>
      <c r="AH25" s="1761"/>
      <c r="AI25" s="1742"/>
      <c r="AJ25" s="1746"/>
      <c r="AK25" s="1748"/>
      <c r="AL25" s="1747" t="s">
        <v>346</v>
      </c>
      <c r="AM25" s="1747"/>
      <c r="AN25" s="747">
        <f>$B10*F20*$M20*R24*$Y25</f>
        <v>5.3098210650899032E-3</v>
      </c>
      <c r="AO25" s="747">
        <f>$B10*G20*$M20*S24*$Y25</f>
        <v>4.1394601612170226E-3</v>
      </c>
      <c r="AP25" s="1552">
        <f>AN25*SQRT(IF($B$10&gt;0,($C$10/$B$10)^2,0)+IF($F$20&gt;0,($H$20/$F$20)^2,0)+IF($M$20&gt;0,($N$20/$M$20)^2,0)+IF(Y25&gt;0,(Z25/Y25)^2,0))*100</f>
        <v>0.47994651336711391</v>
      </c>
      <c r="AQ25" s="1553">
        <f t="shared" si="3"/>
        <v>0.33157994889415282</v>
      </c>
      <c r="AR25" s="1546">
        <f t="shared" si="4"/>
        <v>0.7938315331092064</v>
      </c>
      <c r="AS25" s="1542">
        <f t="shared" si="0"/>
        <v>0.5484332354709287</v>
      </c>
      <c r="AT25" s="1193">
        <f>AA25</f>
        <v>11</v>
      </c>
      <c r="AU25" s="566"/>
      <c r="AX25" s="1583"/>
      <c r="AY25" s="1593"/>
      <c r="AZ25" s="1583"/>
      <c r="BA25" s="1598"/>
      <c r="BB25" s="1587" t="s">
        <v>346</v>
      </c>
      <c r="BC25" s="1587"/>
      <c r="BD25" s="765">
        <f t="shared" si="1"/>
        <v>5.3098210650899032E-3</v>
      </c>
      <c r="BE25" s="825">
        <f t="shared" si="5"/>
        <v>0.47994651336711391</v>
      </c>
    </row>
    <row r="26" spans="1:57" ht="29.4" thickBot="1">
      <c r="A26" s="954"/>
      <c r="B26" s="1460">
        <f t="shared" si="6"/>
        <v>0.84017200000000003</v>
      </c>
      <c r="C26" s="1461">
        <f t="shared" si="7"/>
        <v>1.1528E-2</v>
      </c>
      <c r="D26" s="1462">
        <f t="shared" si="8"/>
        <v>1088</v>
      </c>
      <c r="E26" s="963"/>
      <c r="F26" s="1463">
        <f t="shared" si="36"/>
        <v>0.38037914253439242</v>
      </c>
      <c r="G26" s="1464">
        <f t="shared" si="37"/>
        <v>0.29653811067781233</v>
      </c>
      <c r="H26" s="1465">
        <f t="shared" si="38"/>
        <v>0.20230457995970752</v>
      </c>
      <c r="I26" s="1466">
        <f t="shared" si="39"/>
        <v>4.1339395429717506E-2</v>
      </c>
      <c r="J26" s="1467">
        <f t="shared" si="40"/>
        <v>848</v>
      </c>
      <c r="K26" s="1474"/>
      <c r="L26" s="1456"/>
      <c r="M26" s="1479">
        <f t="shared" si="41"/>
        <v>0.57240100000000005</v>
      </c>
      <c r="N26" s="1480">
        <f t="shared" si="31"/>
        <v>0.33073000000000002</v>
      </c>
      <c r="O26" s="1481">
        <f t="shared" si="32"/>
        <v>42</v>
      </c>
      <c r="P26" s="1773"/>
      <c r="Q26" s="1452"/>
      <c r="R26" s="1482">
        <f t="shared" ref="R26" si="48">R25</f>
        <v>8.6437E-2</v>
      </c>
      <c r="S26" s="1483">
        <f t="shared" si="45"/>
        <v>8.6437E-2</v>
      </c>
      <c r="T26" s="1484">
        <f t="shared" si="46"/>
        <v>2.5649999999999999E-2</v>
      </c>
      <c r="U26" s="1485">
        <f t="shared" si="47"/>
        <v>2.5649999999999999E-2</v>
      </c>
      <c r="V26" s="1446"/>
      <c r="W26" s="1760"/>
      <c r="X26" s="992" t="s">
        <v>75</v>
      </c>
      <c r="Y26" s="974">
        <f>'Ret CF if Unit not available'!BB12</f>
        <v>7.4886999999999995E-2</v>
      </c>
      <c r="Z26" s="975">
        <f>'Ret CF if Unit not available'!BC12</f>
        <v>7.6380000000000003E-2</v>
      </c>
      <c r="AA26" s="998">
        <v>11</v>
      </c>
      <c r="AB26" s="976" t="s">
        <v>997</v>
      </c>
      <c r="AC26" s="976"/>
      <c r="AD26" s="1506">
        <v>0</v>
      </c>
      <c r="AE26" s="1502"/>
      <c r="AF26" s="976"/>
      <c r="AG26" s="977"/>
      <c r="AH26" s="1761"/>
      <c r="AI26" s="1742"/>
      <c r="AJ26" s="1746"/>
      <c r="AK26" s="1748"/>
      <c r="AL26" s="1747" t="s">
        <v>347</v>
      </c>
      <c r="AM26" s="1747"/>
      <c r="AN26" s="747">
        <f>$B10*F20*$M20*R24*$Y26</f>
        <v>1.1841082338023101E-3</v>
      </c>
      <c r="AO26" s="747">
        <f>$B10*G20*$M20*S24*$Y26</f>
        <v>9.2311375474019356E-4</v>
      </c>
      <c r="AP26" s="1552">
        <f>AN26*SQRT(IF($B$10&gt;0,($C$10/$B$10)^2,0)+IF($F$20&gt;0,($H$20/$F$20)^2,0)+IF($M$20&gt;0,($N$20/$M$20)^2,0)+IF(Y26&gt;0,(Z26/Y26)^2,0))*100</f>
        <v>0.15243155333857014</v>
      </c>
      <c r="AQ26" s="1553">
        <f t="shared" si="3"/>
        <v>0.11236986356520154</v>
      </c>
      <c r="AR26" s="1546">
        <f t="shared" si="4"/>
        <v>0.25212178922199502</v>
      </c>
      <c r="AS26" s="1542">
        <f t="shared" si="0"/>
        <v>0.18585975433684335</v>
      </c>
      <c r="AT26" s="1193">
        <f>AA26</f>
        <v>11</v>
      </c>
      <c r="AU26" s="566"/>
      <c r="AX26" s="1583"/>
      <c r="AY26" s="1593"/>
      <c r="AZ26" s="1583"/>
      <c r="BA26" s="1599"/>
      <c r="BB26" s="1587" t="s">
        <v>347</v>
      </c>
      <c r="BC26" s="1587"/>
      <c r="BD26" s="765">
        <f t="shared" si="1"/>
        <v>1.1841082338023101E-3</v>
      </c>
      <c r="BE26" s="825">
        <f t="shared" si="5"/>
        <v>0.15243155333857014</v>
      </c>
    </row>
    <row r="27" spans="1:57" ht="24" customHeight="1" thickBot="1">
      <c r="A27" s="954"/>
      <c r="B27" s="1460">
        <f t="shared" si="6"/>
        <v>0.84017200000000003</v>
      </c>
      <c r="C27" s="1461">
        <f t="shared" si="7"/>
        <v>1.1528E-2</v>
      </c>
      <c r="D27" s="1462">
        <f t="shared" si="8"/>
        <v>1088</v>
      </c>
      <c r="E27" s="963"/>
      <c r="F27" s="1463">
        <f t="shared" si="36"/>
        <v>0.38037914253439242</v>
      </c>
      <c r="G27" s="1464">
        <f t="shared" si="37"/>
        <v>0.29653811067781233</v>
      </c>
      <c r="H27" s="1465">
        <f t="shared" si="38"/>
        <v>0.20230457995970752</v>
      </c>
      <c r="I27" s="1466">
        <f t="shared" si="39"/>
        <v>4.1339395429717506E-2</v>
      </c>
      <c r="J27" s="1467">
        <f t="shared" si="40"/>
        <v>848</v>
      </c>
      <c r="K27" s="1474"/>
      <c r="L27" s="964" t="s">
        <v>55</v>
      </c>
      <c r="M27" s="965">
        <f>SecMktProportions!S6</f>
        <v>3.4584999999999998E-2</v>
      </c>
      <c r="N27" s="966">
        <f>SecMktProportions!G7</f>
        <v>1.6114E-2</v>
      </c>
      <c r="O27" s="990">
        <f>SecMktProportions!D7</f>
        <v>42</v>
      </c>
      <c r="P27" s="967" t="s">
        <v>65</v>
      </c>
      <c r="Q27" s="967" t="s">
        <v>59</v>
      </c>
      <c r="R27" s="968">
        <v>1</v>
      </c>
      <c r="S27" s="968">
        <f>R27</f>
        <v>1</v>
      </c>
      <c r="T27" s="969"/>
      <c r="U27" s="969"/>
      <c r="V27" s="969"/>
      <c r="W27" s="969"/>
      <c r="X27" s="967"/>
      <c r="Y27" s="1497">
        <v>0</v>
      </c>
      <c r="Z27" s="969"/>
      <c r="AA27" s="969"/>
      <c r="AB27" s="967" t="s">
        <v>68</v>
      </c>
      <c r="AC27" s="967"/>
      <c r="AD27" s="1497">
        <v>0</v>
      </c>
      <c r="AE27" s="1503"/>
      <c r="AF27" s="1400"/>
      <c r="AG27" s="970"/>
      <c r="AH27" s="1761"/>
      <c r="AI27" s="1742"/>
      <c r="AJ27" s="1746" t="s">
        <v>342</v>
      </c>
      <c r="AK27" s="1751" t="s">
        <v>349</v>
      </c>
      <c r="AL27" s="1751"/>
      <c r="AM27" s="1751"/>
      <c r="AN27" s="1024">
        <f>$B10*F20*$M27*R27</f>
        <v>1.105280935239851E-2</v>
      </c>
      <c r="AO27" s="1024">
        <f>$B10*G20*$M27*S27</f>
        <v>8.6166112610813368E-3</v>
      </c>
      <c r="AP27" s="1554">
        <f>AN27*SQRT(IF($B$10&gt;0,($C$10/$B$10)^2,0)+IF($F$20&gt;0,($H$20/$F$20)^2,0)+IF($M$20&gt;0,($N$20/$M$20)^2,0)+IF($R$27&gt;0,($T$27/$R$27)^2,0))*100</f>
        <v>0.86811967799163647</v>
      </c>
      <c r="AQ27" s="1555">
        <f t="shared" si="3"/>
        <v>0.41922108347883602</v>
      </c>
      <c r="AR27" s="1547">
        <f t="shared" si="4"/>
        <v>1.4358699473981666</v>
      </c>
      <c r="AS27" s="1543">
        <f t="shared" si="0"/>
        <v>0.69339167207399477</v>
      </c>
      <c r="AT27" s="1193">
        <f>O27</f>
        <v>42</v>
      </c>
      <c r="AU27" s="566"/>
      <c r="AX27" s="1583"/>
      <c r="AY27" s="1593"/>
      <c r="AZ27" s="1583" t="s">
        <v>342</v>
      </c>
      <c r="BA27" s="1584" t="s">
        <v>349</v>
      </c>
      <c r="BB27" s="1585"/>
      <c r="BC27" s="1586"/>
      <c r="BD27" s="765">
        <f t="shared" si="1"/>
        <v>1.105280935239851E-2</v>
      </c>
      <c r="BE27" s="825">
        <f t="shared" si="5"/>
        <v>0.86811967799163647</v>
      </c>
    </row>
    <row r="28" spans="1:57" ht="15" thickBot="1">
      <c r="A28" s="954"/>
      <c r="B28" s="1460">
        <f t="shared" si="6"/>
        <v>0.84017200000000003</v>
      </c>
      <c r="C28" s="1461">
        <f t="shared" si="7"/>
        <v>1.1528E-2</v>
      </c>
      <c r="D28" s="1462">
        <f t="shared" si="8"/>
        <v>1088</v>
      </c>
      <c r="E28" s="963"/>
      <c r="F28" s="1463">
        <f t="shared" si="36"/>
        <v>0.38037914253439242</v>
      </c>
      <c r="G28" s="1464">
        <f t="shared" si="37"/>
        <v>0.29653811067781233</v>
      </c>
      <c r="H28" s="1465">
        <f t="shared" si="38"/>
        <v>0.20230457995970752</v>
      </c>
      <c r="I28" s="1466">
        <f t="shared" si="39"/>
        <v>4.1339395429717506E-2</v>
      </c>
      <c r="J28" s="1467">
        <f t="shared" si="40"/>
        <v>848</v>
      </c>
      <c r="K28" s="1474"/>
      <c r="L28" s="964" t="s">
        <v>56</v>
      </c>
      <c r="M28" s="965">
        <f>SecMktProportions!S7</f>
        <v>1.7631000000000001E-2</v>
      </c>
      <c r="N28" s="966">
        <f>SecMktProportions!G8</f>
        <v>8.9619999999999995E-3</v>
      </c>
      <c r="O28" s="1035">
        <f>SecMktProportions!D8</f>
        <v>42</v>
      </c>
      <c r="P28" s="967" t="s">
        <v>65</v>
      </c>
      <c r="Q28" s="967" t="s">
        <v>59</v>
      </c>
      <c r="R28" s="968">
        <v>1</v>
      </c>
      <c r="S28" s="968">
        <f t="shared" ref="S28:S29" si="49">R28</f>
        <v>1</v>
      </c>
      <c r="T28" s="969"/>
      <c r="U28" s="969"/>
      <c r="V28" s="969"/>
      <c r="W28" s="969"/>
      <c r="X28" s="967"/>
      <c r="Y28" s="1497">
        <v>0</v>
      </c>
      <c r="Z28" s="969"/>
      <c r="AA28" s="969"/>
      <c r="AB28" s="967" t="s">
        <v>68</v>
      </c>
      <c r="AC28" s="967"/>
      <c r="AD28" s="1497">
        <v>0</v>
      </c>
      <c r="AE28" s="1503"/>
      <c r="AF28" s="1400"/>
      <c r="AG28" s="970"/>
      <c r="AH28" s="1761"/>
      <c r="AI28" s="1742"/>
      <c r="AJ28" s="1746"/>
      <c r="AK28" s="1751" t="s">
        <v>350</v>
      </c>
      <c r="AL28" s="1751"/>
      <c r="AM28" s="1751"/>
      <c r="AN28" s="1024">
        <f>$B10*F20*$M28*R28</f>
        <v>5.6345838280219213E-3</v>
      </c>
      <c r="AO28" s="1024">
        <f>$B10*G20*$M28*S28</f>
        <v>4.3926405419726774E-3</v>
      </c>
      <c r="AP28" s="1554">
        <f>AN28*SQRT(IF($B$10&gt;0,($C$10/$B$10)^2,0)+IF($F$20&gt;0,($H$20/$F$20)^2,0)+IF($M$20&gt;0,($N$20/$M$20)^2,0)+IF($R$27&gt;0,($T$27/$R$27)^2,0))*100</f>
        <v>0.44255654308719217</v>
      </c>
      <c r="AQ28" s="1555">
        <f t="shared" si="3"/>
        <v>0.23160538790268384</v>
      </c>
      <c r="AR28" s="1547">
        <f t="shared" si="4"/>
        <v>0.7319885222662158</v>
      </c>
      <c r="AS28" s="1543">
        <f t="shared" si="0"/>
        <v>0.38307531159103902</v>
      </c>
      <c r="AT28" s="1193">
        <f t="shared" ref="AT28:AT30" si="50">O28</f>
        <v>42</v>
      </c>
      <c r="AU28" s="566"/>
      <c r="AX28" s="1583"/>
      <c r="AY28" s="1593"/>
      <c r="AZ28" s="1583"/>
      <c r="BA28" s="1575" t="s">
        <v>350</v>
      </c>
      <c r="BB28" s="1575"/>
      <c r="BC28" s="1575"/>
      <c r="BD28" s="765">
        <f t="shared" si="1"/>
        <v>5.6345838280219213E-3</v>
      </c>
      <c r="BE28" s="825">
        <f t="shared" si="5"/>
        <v>0.44255654308719217</v>
      </c>
    </row>
    <row r="29" spans="1:57" ht="15" thickBot="1">
      <c r="A29" s="954"/>
      <c r="B29" s="1460">
        <f t="shared" si="6"/>
        <v>0.84017200000000003</v>
      </c>
      <c r="C29" s="1461">
        <f t="shared" si="7"/>
        <v>1.1528E-2</v>
      </c>
      <c r="D29" s="1462">
        <f t="shared" si="8"/>
        <v>1088</v>
      </c>
      <c r="E29" s="963"/>
      <c r="F29" s="1463">
        <f t="shared" si="36"/>
        <v>0.38037914253439242</v>
      </c>
      <c r="G29" s="1464">
        <f t="shared" si="37"/>
        <v>0.29653811067781233</v>
      </c>
      <c r="H29" s="1465">
        <f t="shared" si="38"/>
        <v>0.20230457995970752</v>
      </c>
      <c r="I29" s="1466">
        <f t="shared" si="39"/>
        <v>4.1339395429717506E-2</v>
      </c>
      <c r="J29" s="1467">
        <f t="shared" si="40"/>
        <v>848</v>
      </c>
      <c r="K29" s="1474"/>
      <c r="L29" s="964" t="s">
        <v>57</v>
      </c>
      <c r="M29" s="965">
        <f>SecMktProportions!S8</f>
        <v>2.0871000000000001E-2</v>
      </c>
      <c r="N29" s="966">
        <f>SecMktProportions!G9</f>
        <v>6.0520000000000001E-3</v>
      </c>
      <c r="O29" s="1035">
        <f>SecMktProportions!D9</f>
        <v>42</v>
      </c>
      <c r="P29" s="967" t="s">
        <v>65</v>
      </c>
      <c r="Q29" s="967" t="s">
        <v>59</v>
      </c>
      <c r="R29" s="968">
        <v>1</v>
      </c>
      <c r="S29" s="968">
        <f t="shared" si="49"/>
        <v>1</v>
      </c>
      <c r="T29" s="969"/>
      <c r="U29" s="969"/>
      <c r="V29" s="969"/>
      <c r="W29" s="969"/>
      <c r="X29" s="967"/>
      <c r="Y29" s="1497">
        <v>0</v>
      </c>
      <c r="Z29" s="969"/>
      <c r="AA29" s="969"/>
      <c r="AB29" s="967" t="s">
        <v>68</v>
      </c>
      <c r="AC29" s="967"/>
      <c r="AD29" s="1497">
        <v>0</v>
      </c>
      <c r="AE29" s="1503"/>
      <c r="AF29" s="1400"/>
      <c r="AG29" s="970"/>
      <c r="AH29" s="1761"/>
      <c r="AI29" s="1742"/>
      <c r="AJ29" s="1746"/>
      <c r="AK29" s="1751" t="s">
        <v>57</v>
      </c>
      <c r="AL29" s="1751"/>
      <c r="AM29" s="1751"/>
      <c r="AN29" s="1024">
        <f>$B10*F20*$M29*R29</f>
        <v>6.6700356800320753E-3</v>
      </c>
      <c r="AO29" s="1024">
        <f>$B10*G20*$M29*S29</f>
        <v>5.19986391875173E-3</v>
      </c>
      <c r="AP29" s="1554">
        <f>AN29*SQRT(IF($B$10&gt;0,($C$10/$B$10)^2,0)+IF($F$20&gt;0,($H$20/$F$20)^2,0)+IF($M$20&gt;0,($N$20/$M$20)^2,0)+IF($R$27&gt;0,($T$27/$R$27)^2,0))*100</f>
        <v>0.52388393232220454</v>
      </c>
      <c r="AQ29" s="1555">
        <f t="shared" si="3"/>
        <v>0.16745345738825246</v>
      </c>
      <c r="AR29" s="1547">
        <f t="shared" si="4"/>
        <v>0.8665040240609263</v>
      </c>
      <c r="AS29" s="1543">
        <f t="shared" si="0"/>
        <v>0.27696801852016956</v>
      </c>
      <c r="AT29" s="1193">
        <f t="shared" si="50"/>
        <v>42</v>
      </c>
      <c r="AU29" s="566"/>
      <c r="AX29" s="1583"/>
      <c r="AY29" s="1593"/>
      <c r="AZ29" s="1583"/>
      <c r="BA29" s="1575" t="s">
        <v>57</v>
      </c>
      <c r="BB29" s="1575"/>
      <c r="BC29" s="1575"/>
      <c r="BD29" s="765">
        <f t="shared" si="1"/>
        <v>6.6700356800320753E-3</v>
      </c>
      <c r="BE29" s="825">
        <f t="shared" si="5"/>
        <v>0.52388393232220454</v>
      </c>
    </row>
    <row r="30" spans="1:57" ht="15" thickBot="1">
      <c r="A30" s="971"/>
      <c r="B30" s="1457">
        <f t="shared" si="6"/>
        <v>0.84017200000000003</v>
      </c>
      <c r="C30" s="1458">
        <f t="shared" si="7"/>
        <v>1.1528E-2</v>
      </c>
      <c r="D30" s="1459">
        <f t="shared" si="8"/>
        <v>1088</v>
      </c>
      <c r="E30" s="972"/>
      <c r="F30" s="1468">
        <f t="shared" si="36"/>
        <v>0.38037914253439242</v>
      </c>
      <c r="G30" s="1469">
        <f t="shared" si="37"/>
        <v>0.29653811067781233</v>
      </c>
      <c r="H30" s="1470">
        <f t="shared" si="38"/>
        <v>0.20230457995970752</v>
      </c>
      <c r="I30" s="1471">
        <f t="shared" si="39"/>
        <v>4.1339395429717506E-2</v>
      </c>
      <c r="J30" s="1472">
        <f t="shared" si="40"/>
        <v>848</v>
      </c>
      <c r="K30" s="1475"/>
      <c r="L30" s="964" t="s">
        <v>58</v>
      </c>
      <c r="M30" s="965">
        <f>SecMktProportions!S9</f>
        <v>0.35451300000000002</v>
      </c>
      <c r="N30" s="966">
        <f>SecMktProportions!G10</f>
        <v>0.10274</v>
      </c>
      <c r="O30" s="1035">
        <f>SecMktProportions!D10</f>
        <v>42</v>
      </c>
      <c r="P30" s="967" t="s">
        <v>65</v>
      </c>
      <c r="Q30" s="967"/>
      <c r="R30" s="967"/>
      <c r="S30" s="1496">
        <v>0</v>
      </c>
      <c r="T30" s="969"/>
      <c r="U30" s="969"/>
      <c r="V30" s="969"/>
      <c r="W30" s="969"/>
      <c r="X30" s="967"/>
      <c r="Y30" s="1497">
        <v>0</v>
      </c>
      <c r="Z30" s="973"/>
      <c r="AA30" s="973"/>
      <c r="AB30" s="967"/>
      <c r="AC30" s="967"/>
      <c r="AD30" s="1497">
        <v>0</v>
      </c>
      <c r="AE30" s="1503"/>
      <c r="AF30" s="1400"/>
      <c r="AG30" s="970"/>
      <c r="AH30" s="1761"/>
      <c r="AI30" s="1742"/>
      <c r="AJ30" s="1745" t="s">
        <v>266</v>
      </c>
      <c r="AK30" s="1745"/>
      <c r="AL30" s="1745"/>
      <c r="AM30" s="1745"/>
      <c r="AN30" s="1024">
        <f>$B10*F20*$M30</f>
        <v>0.11329664889249251</v>
      </c>
      <c r="AO30" s="1024">
        <f>$B10*G20*$M30</f>
        <v>8.8324438571627251E-2</v>
      </c>
      <c r="AP30" s="1554">
        <f>AN30*SQRT(IF($B$10&gt;0,($C$10/$B$10)^2,0)+IF($F$20&gt;0,($H$20/$F$20)^2,0)+IF($M$20&gt;0,($N$20/$M$20)^2,0)+IF($R$27&gt;0,($T$27/$R$27)^2,0))*100</f>
        <v>8.8986471419357827</v>
      </c>
      <c r="AQ30" s="1555">
        <f t="shared" si="3"/>
        <v>2.8430320624481911</v>
      </c>
      <c r="AR30" s="1547">
        <f t="shared" si="4"/>
        <v>14.718362372761783</v>
      </c>
      <c r="AS30" s="1543">
        <f t="shared" si="0"/>
        <v>4.702375031289308</v>
      </c>
      <c r="AT30" s="1193">
        <f t="shared" si="50"/>
        <v>42</v>
      </c>
      <c r="AU30" s="566"/>
      <c r="AX30" s="1583"/>
      <c r="AY30" s="1593"/>
      <c r="AZ30" s="1588" t="s">
        <v>266</v>
      </c>
      <c r="BA30" s="1588"/>
      <c r="BB30" s="1588"/>
      <c r="BC30" s="1588"/>
      <c r="BD30" s="765">
        <f t="shared" si="1"/>
        <v>0.11329664889249251</v>
      </c>
      <c r="BE30" s="825">
        <f t="shared" si="5"/>
        <v>8.8986471419357827</v>
      </c>
    </row>
    <row r="31" spans="1:57" ht="15" customHeight="1">
      <c r="O31" s="916"/>
      <c r="AL31" s="432" t="s">
        <v>5</v>
      </c>
      <c r="AM31" s="432"/>
      <c r="AN31" s="419">
        <f>SUM(AN8:AN30)</f>
        <v>0.99446916635964477</v>
      </c>
      <c r="AO31" s="419">
        <f>SUM(AO8:AO30)</f>
        <v>0.99999992898169365</v>
      </c>
      <c r="AP31" s="800"/>
      <c r="AQ31" s="334"/>
      <c r="AR31" s="334"/>
      <c r="AS31" s="334"/>
      <c r="AX31" s="1613" t="s">
        <v>5</v>
      </c>
      <c r="AY31" s="1614"/>
      <c r="AZ31" s="1614"/>
      <c r="BA31" s="1614"/>
      <c r="BB31" s="1614"/>
      <c r="BC31" s="1615"/>
      <c r="BD31" s="433">
        <f>SUM(BD8:BD30)</f>
        <v>0.99446916635964477</v>
      </c>
      <c r="BE31" s="826"/>
    </row>
    <row r="32" spans="1:57" ht="28.2" customHeight="1">
      <c r="O32" s="916"/>
    </row>
    <row r="33" spans="3:51">
      <c r="L33" s="916"/>
    </row>
    <row r="34" spans="3:51">
      <c r="E34" s="418"/>
      <c r="L34" s="916"/>
      <c r="R34" s="916"/>
      <c r="T34" s="1749"/>
      <c r="U34" s="1408"/>
      <c r="V34" s="799"/>
      <c r="W34" s="1387"/>
      <c r="AM34" s="419"/>
      <c r="AN34" s="421"/>
      <c r="AO34" s="421"/>
      <c r="AP34" s="916"/>
    </row>
    <row r="35" spans="3:51">
      <c r="E35" s="418"/>
      <c r="L35" s="418"/>
      <c r="M35" s="421"/>
      <c r="R35" s="916"/>
      <c r="T35" s="1749"/>
      <c r="U35" s="1408"/>
      <c r="V35" s="799"/>
      <c r="W35" s="1387"/>
      <c r="AM35" s="419"/>
      <c r="AN35" s="421"/>
      <c r="AO35" s="421"/>
      <c r="AP35" s="916"/>
    </row>
    <row r="36" spans="3:51">
      <c r="E36" s="418"/>
      <c r="K36" s="418"/>
      <c r="L36" s="421"/>
      <c r="M36" s="421"/>
      <c r="R36" s="916"/>
      <c r="AL36" s="643" t="s">
        <v>1001</v>
      </c>
    </row>
    <row r="37" spans="3:51">
      <c r="K37" s="418"/>
      <c r="L37" s="421"/>
      <c r="AD37" s="419"/>
      <c r="AE37" s="1185"/>
      <c r="AF37" s="419"/>
      <c r="AG37" s="419"/>
      <c r="AH37" s="421"/>
      <c r="AI37" s="421"/>
      <c r="AJ37" s="419"/>
      <c r="AK37" s="566"/>
      <c r="AL37" s="138" t="s">
        <v>281</v>
      </c>
      <c r="AM37" s="916">
        <f>'Statewide PGE REF NTG'!Z47+'Statewide SCE REF NTG'!Z47+'Statewide SDGE REF NTG'!Z47</f>
        <v>381</v>
      </c>
    </row>
    <row r="38" spans="3:51">
      <c r="C38" s="916"/>
      <c r="D38" s="916"/>
      <c r="AD38" s="419"/>
      <c r="AE38" s="1185"/>
      <c r="AF38" s="419"/>
      <c r="AG38" s="419"/>
      <c r="AH38" s="421"/>
      <c r="AI38" s="421"/>
      <c r="AJ38" s="419"/>
      <c r="AK38" s="566"/>
      <c r="AL38" s="916" t="s">
        <v>282</v>
      </c>
      <c r="AM38" s="643">
        <f>'Statewide PGE REF NTG'!AD47</f>
        <v>15</v>
      </c>
    </row>
    <row r="39" spans="3:51">
      <c r="C39" s="916"/>
      <c r="D39" s="916"/>
      <c r="F39" s="418">
        <v>0.222468</v>
      </c>
      <c r="G39" s="418"/>
      <c r="H39" s="1261">
        <v>3.8621999999999997E-2</v>
      </c>
      <c r="I39" s="1261"/>
      <c r="AD39" s="419"/>
      <c r="AE39" s="1185"/>
      <c r="AF39" s="419"/>
      <c r="AG39" s="419"/>
      <c r="AH39" s="421"/>
      <c r="AI39" s="421"/>
      <c r="AJ39" s="419"/>
      <c r="AK39" s="567"/>
      <c r="AL39" s="567"/>
      <c r="AM39" s="569"/>
      <c r="AN39" s="568"/>
      <c r="AO39" s="568"/>
      <c r="AP39" s="419"/>
      <c r="AQ39" s="419"/>
      <c r="AR39" s="419"/>
      <c r="AS39" s="419"/>
      <c r="AU39" s="643" t="s">
        <v>1002</v>
      </c>
      <c r="AW39" s="643" t="s">
        <v>1003</v>
      </c>
    </row>
    <row r="40" spans="3:51">
      <c r="C40" s="916"/>
      <c r="D40" s="916"/>
      <c r="F40" s="418"/>
      <c r="G40" s="418"/>
      <c r="H40" s="1261"/>
      <c r="I40" s="1261"/>
      <c r="K40" s="421"/>
      <c r="AD40" s="419"/>
      <c r="AE40" s="1185"/>
      <c r="AF40" s="419"/>
      <c r="AG40" s="419"/>
      <c r="AH40" s="421"/>
      <c r="AI40" s="421"/>
      <c r="AJ40" s="419"/>
      <c r="AK40" s="565"/>
      <c r="AL40" s="565"/>
      <c r="AM40" s="569"/>
      <c r="AU40" s="452">
        <f>'StatewideSummary Tables'!F38</f>
        <v>137046200.27396965</v>
      </c>
      <c r="AV40" s="452"/>
      <c r="AW40" s="452">
        <f>'StatewideSummary Tables'!F40</f>
        <v>93385512.780115411</v>
      </c>
    </row>
    <row r="41" spans="3:51">
      <c r="F41" s="418"/>
      <c r="G41" s="418"/>
      <c r="H41" s="1261"/>
      <c r="I41" s="1261"/>
      <c r="K41" s="421"/>
      <c r="AD41" s="419"/>
      <c r="AE41" s="1185"/>
      <c r="AF41" s="419"/>
      <c r="AG41" s="419"/>
      <c r="AH41" s="421"/>
      <c r="AI41" s="421"/>
      <c r="AJ41" s="419"/>
      <c r="AK41" s="566"/>
      <c r="AL41" s="1269" t="s">
        <v>940</v>
      </c>
      <c r="AM41" s="1271">
        <f>SQRT(SUM('Statewide PGE REF NTG'!V38^2,'Statewide SCE REF NTG'!V38^2,'Statewide SDGE REF NTG'!V38^2))</f>
        <v>45.926735163595573</v>
      </c>
      <c r="AN41" s="1271"/>
      <c r="AO41" s="1271"/>
      <c r="AP41" s="1271"/>
      <c r="AQ41" s="1271"/>
      <c r="AR41" s="1271"/>
      <c r="AS41" s="1271"/>
      <c r="AT41" s="1271">
        <f>SQRT(SUM('Statewide PGE REF NTG'!Y38^2,'Statewide SCE REF NTG'!Y38^2,'Statewide SDGE REF NTG'!Y38^2))</f>
        <v>35.350501467445902</v>
      </c>
      <c r="AU41" s="916"/>
      <c r="AV41" s="916"/>
      <c r="AW41" s="916"/>
    </row>
    <row r="42" spans="3:51">
      <c r="F42" s="418"/>
      <c r="G42" s="418"/>
      <c r="H42" s="1261"/>
      <c r="I42" s="1261"/>
      <c r="K42" s="421"/>
      <c r="AD42" s="419"/>
      <c r="AE42" s="1185"/>
      <c r="AF42" s="419"/>
      <c r="AG42" s="419"/>
      <c r="AH42" s="421"/>
      <c r="AI42" s="421"/>
      <c r="AJ42" s="419"/>
      <c r="AL42" s="1269" t="s">
        <v>941</v>
      </c>
      <c r="AM42" s="1271">
        <f>SQRT(SUM('Statewide PGE REF NTG'!V39^2,'Statewide SCE REF NTG'!V39^2,'Statewide SDGE REF NTG'!V39^2))</f>
        <v>118.27525661924908</v>
      </c>
      <c r="AN42" s="1271"/>
      <c r="AO42" s="1271"/>
      <c r="AP42" s="1271"/>
      <c r="AQ42" s="1271"/>
      <c r="AR42" s="1271"/>
      <c r="AS42" s="1271"/>
      <c r="AT42" s="1271">
        <f>SQRT(SUM('Statewide PGE REF NTG'!Y39^2,'Statewide SCE REF NTG'!Y39^2,'Statewide SDGE REF NTG'!Y39^2))</f>
        <v>86.205467223529496</v>
      </c>
      <c r="AU42" s="916"/>
      <c r="AV42" s="916"/>
      <c r="AW42" s="916"/>
    </row>
    <row r="43" spans="3:51">
      <c r="F43" s="418"/>
      <c r="G43" s="418"/>
      <c r="H43" s="1261"/>
      <c r="I43" s="1261"/>
      <c r="AL43" s="1272" t="s">
        <v>942</v>
      </c>
      <c r="AM43" s="1271">
        <f>SQRT(SUM('Statewide PGE REF NTG'!V40^2,'Statewide SCE REF NTG'!V40^2,'Statewide SDGE REF NTG'!V40^2))</f>
        <v>126.87908153488607</v>
      </c>
      <c r="AN43" s="1271"/>
      <c r="AO43" s="1271"/>
      <c r="AP43" s="1271"/>
      <c r="AQ43" s="1271"/>
      <c r="AR43" s="1271"/>
      <c r="AS43" s="1271"/>
      <c r="AT43" s="1271">
        <f>SQRT(SUM('Statewide PGE REF NTG'!Y40^2,'Statewide SCE REF NTG'!Y40^2,'Statewide SDGE REF NTG'!Y40^2))</f>
        <v>93.172101689437667</v>
      </c>
      <c r="AU43" s="916"/>
      <c r="AV43" s="916"/>
      <c r="AW43" s="916"/>
    </row>
    <row r="44" spans="3:51">
      <c r="F44" s="916"/>
      <c r="H44" s="1261"/>
      <c r="I44" s="1261"/>
      <c r="AJ44" s="419"/>
      <c r="AN44" s="916"/>
      <c r="AP44" s="916"/>
      <c r="AT44" s="450" t="s">
        <v>278</v>
      </c>
      <c r="AU44" s="451">
        <f>AM43*AU48</f>
        <v>209.2062004925302</v>
      </c>
      <c r="AV44" s="450" t="s">
        <v>278</v>
      </c>
      <c r="AW44" s="451">
        <f>AT43*AW48</f>
        <v>153.6280145674875</v>
      </c>
      <c r="AX44" s="450" t="s">
        <v>278</v>
      </c>
      <c r="AY44" s="421">
        <f>AZ40*AY48</f>
        <v>0</v>
      </c>
    </row>
    <row r="45" spans="3:51">
      <c r="F45" s="916"/>
      <c r="H45" s="1261"/>
      <c r="I45" s="1261"/>
      <c r="AN45" s="916"/>
      <c r="AP45" s="916"/>
      <c r="AT45" s="916" t="s">
        <v>279</v>
      </c>
      <c r="AU45" s="452">
        <f>AU40-AU44</f>
        <v>137045991.06776917</v>
      </c>
      <c r="AV45" s="916" t="s">
        <v>279</v>
      </c>
      <c r="AW45" s="452">
        <f>AW40-AW44</f>
        <v>93385359.152100846</v>
      </c>
      <c r="AX45" s="916" t="s">
        <v>279</v>
      </c>
      <c r="AY45" s="418">
        <f>AY40-AY44</f>
        <v>0</v>
      </c>
    </row>
    <row r="46" spans="3:51">
      <c r="F46" s="916"/>
      <c r="H46" s="1261"/>
      <c r="I46" s="1261"/>
      <c r="AT46" s="916" t="s">
        <v>280</v>
      </c>
      <c r="AU46" s="452">
        <f>AU40+AU44</f>
        <v>137046409.48017013</v>
      </c>
      <c r="AV46" s="916" t="s">
        <v>280</v>
      </c>
      <c r="AW46" s="452">
        <f>AW40+AW44</f>
        <v>93385666.408129975</v>
      </c>
      <c r="AX46" s="916" t="s">
        <v>280</v>
      </c>
      <c r="AY46" s="418">
        <f>AY40+AY44</f>
        <v>0</v>
      </c>
    </row>
    <row r="47" spans="3:51">
      <c r="F47" s="916"/>
      <c r="H47" s="1261"/>
      <c r="I47" s="1261"/>
      <c r="AT47" s="432" t="s">
        <v>286</v>
      </c>
      <c r="AU47" s="1404">
        <f>AU44/AU40</f>
        <v>1.5265377666385874E-6</v>
      </c>
      <c r="AV47" s="482"/>
      <c r="AW47" s="1404">
        <f>AW44/AW40</f>
        <v>1.6450947260868874E-6</v>
      </c>
      <c r="AX47" s="916"/>
      <c r="AY47" s="421" t="e">
        <f>AY44/AY40</f>
        <v>#DIV/0!</v>
      </c>
    </row>
    <row r="48" spans="3:51">
      <c r="F48" s="418">
        <v>0.56439700000000004</v>
      </c>
      <c r="G48" s="418"/>
      <c r="H48" s="1261">
        <v>4.5864000000000002E-2</v>
      </c>
      <c r="I48" s="1261"/>
      <c r="AT48" s="916"/>
      <c r="AU48" s="916">
        <f>TINV(0.1,AM37)</f>
        <v>1.6488628224740725</v>
      </c>
      <c r="AV48" s="916"/>
      <c r="AW48" s="916">
        <f>TINV(0.1,AM37)</f>
        <v>1.6488628224740725</v>
      </c>
      <c r="AX48" s="916"/>
      <c r="AY48" s="916">
        <f>TINV(0.1,AM38)</f>
        <v>1.7530503556925723</v>
      </c>
    </row>
    <row r="70" ht="25.5" customHeight="1"/>
    <row r="73" ht="15.75" customHeight="1"/>
  </sheetData>
  <mergeCells count="74">
    <mergeCell ref="A14:A18"/>
    <mergeCell ref="AB14:AB15"/>
    <mergeCell ref="AB22:AB23"/>
    <mergeCell ref="W11:W15"/>
    <mergeCell ref="W16:W19"/>
    <mergeCell ref="W20:W23"/>
    <mergeCell ref="P20:P26"/>
    <mergeCell ref="X14:X15"/>
    <mergeCell ref="W24:W26"/>
    <mergeCell ref="BA13:BC13"/>
    <mergeCell ref="BA14:BB15"/>
    <mergeCell ref="AY11:AY19"/>
    <mergeCell ref="AZ11:AZ15"/>
    <mergeCell ref="BA11:BC11"/>
    <mergeCell ref="AK12:AM12"/>
    <mergeCell ref="BA12:BC12"/>
    <mergeCell ref="AK13:AM13"/>
    <mergeCell ref="AH11:AH30"/>
    <mergeCell ref="AI11:AI19"/>
    <mergeCell ref="AJ11:AJ15"/>
    <mergeCell ref="AK11:AM11"/>
    <mergeCell ref="AJ16:AJ19"/>
    <mergeCell ref="AK16:AM16"/>
    <mergeCell ref="AK24:AK26"/>
    <mergeCell ref="AH9:AM9"/>
    <mergeCell ref="AX9:BC9"/>
    <mergeCell ref="AH10:AM10"/>
    <mergeCell ref="AH6:AM6"/>
    <mergeCell ref="AX6:BC6"/>
    <mergeCell ref="AH8:AM8"/>
    <mergeCell ref="AX8:BC8"/>
    <mergeCell ref="AZ16:AZ19"/>
    <mergeCell ref="BA16:BC16"/>
    <mergeCell ref="AK17:AM17"/>
    <mergeCell ref="BA17:BC17"/>
    <mergeCell ref="AK18:AM18"/>
    <mergeCell ref="BA18:BC18"/>
    <mergeCell ref="AK19:AM19"/>
    <mergeCell ref="BA19:BC19"/>
    <mergeCell ref="BA27:BC27"/>
    <mergeCell ref="AK28:AM28"/>
    <mergeCell ref="BA24:BA26"/>
    <mergeCell ref="BB24:BC24"/>
    <mergeCell ref="AL24:AM24"/>
    <mergeCell ref="AY20:AY30"/>
    <mergeCell ref="AZ20:AZ26"/>
    <mergeCell ref="BA20:BA23"/>
    <mergeCell ref="BB20:BC20"/>
    <mergeCell ref="AL21:AM21"/>
    <mergeCell ref="BB21:BC21"/>
    <mergeCell ref="BB22:BB23"/>
    <mergeCell ref="BB25:BC25"/>
    <mergeCell ref="AL26:AM26"/>
    <mergeCell ref="AK20:AK23"/>
    <mergeCell ref="T34:T35"/>
    <mergeCell ref="AL20:AM20"/>
    <mergeCell ref="BB26:BC26"/>
    <mergeCell ref="AL22:AL23"/>
    <mergeCell ref="AZ30:BC30"/>
    <mergeCell ref="AX31:BC31"/>
    <mergeCell ref="BA28:BC28"/>
    <mergeCell ref="AK29:AM29"/>
    <mergeCell ref="BA29:BC29"/>
    <mergeCell ref="AX10:AX30"/>
    <mergeCell ref="AY10:BC10"/>
    <mergeCell ref="AK27:AM27"/>
    <mergeCell ref="AZ27:AZ29"/>
    <mergeCell ref="AK14:AL15"/>
    <mergeCell ref="AI20:AI30"/>
    <mergeCell ref="X22:X23"/>
    <mergeCell ref="AJ30:AM30"/>
    <mergeCell ref="AJ27:AJ29"/>
    <mergeCell ref="AJ20:AJ26"/>
    <mergeCell ref="AL25:AM25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06"/>
  <sheetViews>
    <sheetView topLeftCell="F1" workbookViewId="0">
      <selection activeCell="M68" sqref="M68:W68"/>
    </sheetView>
  </sheetViews>
  <sheetFormatPr defaultRowHeight="14.4"/>
  <cols>
    <col min="2" max="2" width="20.109375" customWidth="1"/>
    <col min="3" max="3" width="13.5546875" bestFit="1" customWidth="1"/>
    <col min="4" max="4" width="17.44140625" customWidth="1"/>
    <col min="7" max="7" width="14.5546875" customWidth="1"/>
    <col min="13" max="13" width="8.44140625" bestFit="1" customWidth="1"/>
    <col min="14" max="14" width="21.109375" bestFit="1" customWidth="1"/>
    <col min="15" max="15" width="11.109375" bestFit="1" customWidth="1"/>
    <col min="16" max="16" width="13.109375" bestFit="1" customWidth="1"/>
    <col min="17" max="17" width="12.6640625" bestFit="1" customWidth="1"/>
    <col min="18" max="18" width="13.88671875" customWidth="1"/>
    <col min="19" max="19" width="11.88671875" bestFit="1" customWidth="1"/>
    <col min="20" max="20" width="7" bestFit="1" customWidth="1"/>
    <col min="21" max="21" width="17" customWidth="1"/>
    <col min="22" max="23" width="11.109375" bestFit="1" customWidth="1"/>
    <col min="24" max="24" width="15" bestFit="1" customWidth="1"/>
    <col min="27" max="27" width="23" customWidth="1"/>
    <col min="28" max="29" width="11.109375" bestFit="1" customWidth="1"/>
    <col min="33" max="33" width="22.33203125" customWidth="1"/>
    <col min="34" max="35" width="9.88671875" bestFit="1" customWidth="1"/>
    <col min="39" max="39" width="13.44140625" customWidth="1"/>
    <col min="40" max="40" width="12.109375" customWidth="1"/>
  </cols>
  <sheetData>
    <row r="1" spans="2:17" ht="15" customHeight="1"/>
    <row r="2" spans="2:17" ht="15" thickBot="1">
      <c r="B2" s="822" t="s">
        <v>548</v>
      </c>
    </row>
    <row r="3" spans="2:17" ht="55.2" thickBot="1">
      <c r="B3" s="465" t="s">
        <v>0</v>
      </c>
      <c r="C3" s="466" t="s">
        <v>287</v>
      </c>
      <c r="D3" s="467" t="str">
        <f>"Lower CI of "&amp;C3</f>
        <v>Lower CI of Gross Unit Savings</v>
      </c>
      <c r="E3" s="467" t="str">
        <f>"Upper CI of "&amp;C3</f>
        <v>Upper CI of Gross Unit Savings</v>
      </c>
      <c r="F3" s="466" t="s">
        <v>288</v>
      </c>
      <c r="G3" s="467" t="str">
        <f>"Lower CI of "&amp;F3</f>
        <v>Lower CI of Net Unit Savings</v>
      </c>
      <c r="H3" s="467" t="str">
        <f>"Upper CI of "&amp;F3</f>
        <v>Upper CI of Net Unit Savings</v>
      </c>
      <c r="I3" s="466" t="s">
        <v>120</v>
      </c>
      <c r="J3" s="467" t="str">
        <f>"Lower CI of "&amp;I3</f>
        <v>Lower CI of NTG Ratio</v>
      </c>
      <c r="K3" s="467" t="str">
        <f>"Upper CI of "&amp;I3</f>
        <v>Upper CI of NTG Ratio</v>
      </c>
    </row>
    <row r="4" spans="2:17" ht="15" thickBot="1">
      <c r="B4" s="1800" t="s">
        <v>290</v>
      </c>
      <c r="C4" s="1801"/>
      <c r="D4" s="1801"/>
      <c r="E4" s="1801"/>
      <c r="F4" s="1801"/>
      <c r="G4" s="1801"/>
      <c r="H4" s="1801"/>
      <c r="I4" s="1801"/>
      <c r="J4" s="1801"/>
      <c r="K4" s="1932"/>
    </row>
    <row r="5" spans="2:17">
      <c r="B5" s="479" t="s">
        <v>256</v>
      </c>
      <c r="C5" s="468">
        <f>'PGE REF NTG'!AU37</f>
        <v>33878.488066165693</v>
      </c>
      <c r="D5" s="473">
        <f>'PGE REF NTG'!AU40</f>
        <v>19498.373282031829</v>
      </c>
      <c r="E5" s="469">
        <f>'PGE REF NTG'!AU41</f>
        <v>48258.602850299561</v>
      </c>
      <c r="F5" s="470">
        <f>'PGE REF NTG'!AW37</f>
        <v>21958.30553632832</v>
      </c>
      <c r="G5" s="469">
        <f>'PGE REF NTG'!AW40</f>
        <v>14047.286262954638</v>
      </c>
      <c r="H5" s="469">
        <f>'PGE REF NTG'!AW41</f>
        <v>29869.324809702004</v>
      </c>
      <c r="I5" s="471">
        <f>'PGE REF NTG'!AY37</f>
        <v>0.64814892250926592</v>
      </c>
      <c r="J5" s="476">
        <f>'PGE REF NTG'!AY40</f>
        <v>0.26770137921992099</v>
      </c>
      <c r="K5" s="472">
        <f>'PGE REF NTG'!AY41</f>
        <v>1.0285964657986109</v>
      </c>
    </row>
    <row r="6" spans="2:17">
      <c r="B6" s="480" t="s">
        <v>18</v>
      </c>
      <c r="C6" s="434">
        <f>'SCE REF NTG'!AU37</f>
        <v>30927.565621601083</v>
      </c>
      <c r="D6" s="474" t="e">
        <f>'SCE REF NTG'!AU40</f>
        <v>#REF!</v>
      </c>
      <c r="E6" s="435" t="e">
        <f>'SCE REF NTG'!AU41</f>
        <v>#REF!</v>
      </c>
      <c r="F6" s="436">
        <f>'SCE REF NTG'!AW37</f>
        <v>21581.064498289787</v>
      </c>
      <c r="G6" s="435" t="e">
        <f>'SCE REF NTG'!AW40</f>
        <v>#REF!</v>
      </c>
      <c r="H6" s="435" t="e">
        <f>'SCE REF NTG'!AW41</f>
        <v>#REF!</v>
      </c>
      <c r="I6" s="437">
        <f>'SCE REF NTG'!AY37</f>
        <v>0.69779383098994008</v>
      </c>
      <c r="J6" s="477" t="e">
        <f>'SCE REF NTG'!AY40</f>
        <v>#REF!</v>
      </c>
      <c r="K6" s="438" t="e">
        <f>'SCE REF NTG'!AY41</f>
        <v>#REF!</v>
      </c>
    </row>
    <row r="7" spans="2:17" ht="15" thickBot="1">
      <c r="B7" s="481" t="s">
        <v>257</v>
      </c>
      <c r="C7" s="439">
        <f>'SDGE REF NTG'!AU37</f>
        <v>14852.715552596223</v>
      </c>
      <c r="D7" s="475" t="e">
        <f>'SDGE REF NTG'!AU40</f>
        <v>#REF!</v>
      </c>
      <c r="E7" s="440" t="e">
        <f>'SDGE REF NTG'!AU41</f>
        <v>#REF!</v>
      </c>
      <c r="F7" s="441">
        <f>'SDGE REF NTG'!AW37</f>
        <v>10299.19611030592</v>
      </c>
      <c r="G7" s="440" t="e">
        <f>'SDGE REF NTG'!AW40</f>
        <v>#REF!</v>
      </c>
      <c r="H7" s="440" t="e">
        <f>'SDGE REF NTG'!AW41</f>
        <v>#REF!</v>
      </c>
      <c r="I7" s="442">
        <f>'SDGE REF NTG'!AY37</f>
        <v>0.6934217567039882</v>
      </c>
      <c r="J7" s="478" t="e">
        <f>'SDGE REF NTG'!AY40</f>
        <v>#REF!</v>
      </c>
      <c r="K7" s="443" t="e">
        <f>'SDGE REF NTG'!AY41</f>
        <v>#REF!</v>
      </c>
    </row>
    <row r="8" spans="2:17" ht="15" thickBot="1">
      <c r="B8" s="1800" t="s">
        <v>289</v>
      </c>
      <c r="C8" s="1801"/>
      <c r="D8" s="1801"/>
      <c r="E8" s="1801"/>
      <c r="F8" s="1801"/>
      <c r="G8" s="1801"/>
      <c r="H8" s="1801"/>
      <c r="I8" s="1801"/>
      <c r="J8" s="1801"/>
      <c r="K8" s="1932"/>
    </row>
    <row r="9" spans="2:17" ht="15" thickBot="1">
      <c r="B9" s="481" t="s">
        <v>291</v>
      </c>
      <c r="C9" s="439">
        <f>'All IOU FRZ NTG'!AQ28</f>
        <v>770.91180802081556</v>
      </c>
      <c r="D9" s="475">
        <f>'All IOU FRZ NTG'!AQ34</f>
        <v>632.02035150354493</v>
      </c>
      <c r="E9" s="440">
        <f>'All IOU FRZ NTG'!AQ35</f>
        <v>909.80326453808618</v>
      </c>
      <c r="F9" s="441">
        <f>'All IOU FRZ NTG'!AS28</f>
        <v>576.69338243259187</v>
      </c>
      <c r="G9" s="440">
        <f>'All IOU FRZ NTG'!AS34</f>
        <v>452.870119702544</v>
      </c>
      <c r="H9" s="440">
        <f>'All IOU FRZ NTG'!AS35</f>
        <v>700.51664516263975</v>
      </c>
      <c r="I9" s="442">
        <f>'All IOU FRZ NTG'!AU28</f>
        <v>0.74806660947787751</v>
      </c>
      <c r="J9" s="478">
        <f>'All IOU FRZ NTG'!AU34</f>
        <v>0.46382803180048454</v>
      </c>
      <c r="K9" s="443">
        <f>'All IOU FRZ NTG'!AU35</f>
        <v>1.0323051871552704</v>
      </c>
    </row>
    <row r="13" spans="2:17" ht="15" thickBot="1"/>
    <row r="14" spans="2:17" ht="15" thickBot="1">
      <c r="M14" s="525" t="s">
        <v>0</v>
      </c>
      <c r="N14" s="590" t="s">
        <v>332</v>
      </c>
      <c r="O14" s="590" t="s">
        <v>354</v>
      </c>
      <c r="P14" s="590" t="s">
        <v>355</v>
      </c>
      <c r="Q14" s="590" t="s">
        <v>356</v>
      </c>
    </row>
    <row r="15" spans="2:17" ht="15" thickBot="1">
      <c r="M15" s="1908" t="s">
        <v>17</v>
      </c>
      <c r="N15" s="591" t="s">
        <v>357</v>
      </c>
      <c r="O15" s="592">
        <v>55742</v>
      </c>
      <c r="P15" s="593">
        <f>Q15/O15</f>
        <v>0.98042507590641181</v>
      </c>
      <c r="Q15" s="592">
        <v>54650.854581175205</v>
      </c>
    </row>
    <row r="16" spans="2:17" ht="15" thickBot="1">
      <c r="M16" s="1909"/>
      <c r="N16" s="591" t="s">
        <v>358</v>
      </c>
      <c r="O16" s="592">
        <v>7147</v>
      </c>
      <c r="P16" s="593">
        <f>Q16/O16</f>
        <v>1.0807279043138116</v>
      </c>
      <c r="Q16" s="592">
        <v>7723.9623321308118</v>
      </c>
    </row>
    <row r="17" spans="4:19" ht="15" thickBot="1">
      <c r="M17" s="1910"/>
      <c r="N17" s="591" t="s">
        <v>334</v>
      </c>
      <c r="O17" s="594">
        <v>815</v>
      </c>
      <c r="P17" s="593" t="s">
        <v>130</v>
      </c>
      <c r="Q17" s="594">
        <v>815</v>
      </c>
    </row>
    <row r="18" spans="4:19" ht="15" thickBot="1">
      <c r="M18" s="1908" t="s">
        <v>18</v>
      </c>
      <c r="N18" s="591" t="s">
        <v>101</v>
      </c>
      <c r="O18" s="592">
        <v>183265</v>
      </c>
      <c r="P18" s="593">
        <f t="shared" ref="P18:P20" si="0">Q18/O18</f>
        <v>0.98493207949838557</v>
      </c>
      <c r="Q18" s="592">
        <v>180503.57754927163</v>
      </c>
    </row>
    <row r="19" spans="4:19" ht="15" customHeight="1" thickBot="1">
      <c r="M19" s="1910"/>
      <c r="N19" s="591" t="s">
        <v>25</v>
      </c>
      <c r="O19" s="592">
        <v>15511</v>
      </c>
      <c r="P19" s="593">
        <f t="shared" si="0"/>
        <v>1.0099750425818377</v>
      </c>
      <c r="Q19" s="592">
        <v>15665.722885486883</v>
      </c>
    </row>
    <row r="20" spans="4:19" ht="15" thickBot="1">
      <c r="M20" s="1908" t="s">
        <v>4</v>
      </c>
      <c r="N20" s="591" t="s">
        <v>101</v>
      </c>
      <c r="O20" s="592">
        <v>40893</v>
      </c>
      <c r="P20" s="593">
        <f t="shared" si="0"/>
        <v>0.988069089456869</v>
      </c>
      <c r="Q20" s="592">
        <v>40405.109275159746</v>
      </c>
    </row>
    <row r="21" spans="4:19" ht="15" thickBot="1">
      <c r="D21" s="421"/>
      <c r="M21" s="1909"/>
      <c r="N21" s="591" t="s">
        <v>25</v>
      </c>
      <c r="O21" s="592">
        <v>4420</v>
      </c>
      <c r="P21" s="593">
        <f>Q21/O21</f>
        <v>1</v>
      </c>
      <c r="Q21" s="592">
        <v>4420</v>
      </c>
    </row>
    <row r="22" spans="4:19" ht="15" thickBot="1">
      <c r="M22" s="1910"/>
      <c r="N22" s="591" t="s">
        <v>334</v>
      </c>
      <c r="O22" s="594">
        <v>744</v>
      </c>
      <c r="P22" s="593" t="s">
        <v>130</v>
      </c>
      <c r="Q22" s="594">
        <v>744</v>
      </c>
    </row>
    <row r="23" spans="4:19" ht="15" thickBot="1">
      <c r="D23" t="s">
        <v>18</v>
      </c>
    </row>
    <row r="24" spans="4:19" ht="63.6" thickBot="1">
      <c r="D24" s="539" t="s">
        <v>20</v>
      </c>
      <c r="E24" s="540" t="s">
        <v>21</v>
      </c>
      <c r="F24" s="540" t="s">
        <v>22</v>
      </c>
      <c r="G24" s="540" t="s">
        <v>27</v>
      </c>
      <c r="H24" s="540" t="s">
        <v>24</v>
      </c>
      <c r="I24" s="541" t="s">
        <v>364</v>
      </c>
      <c r="J24" s="528" t="s">
        <v>365</v>
      </c>
      <c r="K24" s="531" t="s">
        <v>367</v>
      </c>
      <c r="M24" s="508" t="s">
        <v>0</v>
      </c>
      <c r="N24" s="519" t="s">
        <v>332</v>
      </c>
      <c r="O24" s="519" t="s">
        <v>359</v>
      </c>
      <c r="P24" s="519" t="s">
        <v>337</v>
      </c>
      <c r="Q24" s="519" t="s">
        <v>356</v>
      </c>
      <c r="R24" s="519" t="s">
        <v>338</v>
      </c>
      <c r="S24" s="519" t="s">
        <v>339</v>
      </c>
    </row>
    <row r="25" spans="4:19" ht="15" thickBot="1">
      <c r="D25" s="542"/>
      <c r="E25" s="538">
        <v>0</v>
      </c>
      <c r="F25" s="538">
        <v>198776</v>
      </c>
      <c r="G25" s="538">
        <v>198776</v>
      </c>
      <c r="H25" s="538">
        <v>168034841.55000001</v>
      </c>
      <c r="I25" s="543">
        <v>123686.65</v>
      </c>
      <c r="J25" s="526"/>
      <c r="M25" s="1933" t="s">
        <v>256</v>
      </c>
      <c r="N25" s="510" t="s">
        <v>101</v>
      </c>
      <c r="O25" s="511">
        <f>G41</f>
        <v>55742</v>
      </c>
      <c r="P25" s="511">
        <f>H41</f>
        <v>41137792</v>
      </c>
      <c r="Q25" s="511">
        <f t="shared" ref="Q25:Q31" si="1">Q15</f>
        <v>54650.854581175205</v>
      </c>
      <c r="R25" s="511">
        <f>Q25*C5</f>
        <v>1851488324.7341008</v>
      </c>
      <c r="S25" s="511">
        <f>Q25*F5</f>
        <v>1200040162.7148933</v>
      </c>
    </row>
    <row r="26" spans="4:19" ht="15" thickBot="1">
      <c r="D26" s="542" t="s">
        <v>25</v>
      </c>
      <c r="E26" s="538">
        <v>1</v>
      </c>
      <c r="F26" s="538">
        <v>15511</v>
      </c>
      <c r="G26" s="538">
        <v>15511</v>
      </c>
      <c r="H26" s="538">
        <v>14936756.49</v>
      </c>
      <c r="I26" s="543">
        <v>10888.29</v>
      </c>
      <c r="J26" s="526">
        <f t="shared" ref="J26:J27" si="2">I26/G26</f>
        <v>0.70197214879762759</v>
      </c>
      <c r="K26" s="452">
        <f>H26/G26</f>
        <v>962.97830507381855</v>
      </c>
      <c r="L26" s="452">
        <f>K26*0.7</f>
        <v>674.08481355167294</v>
      </c>
      <c r="M26" s="1934"/>
      <c r="N26" s="510" t="s">
        <v>25</v>
      </c>
      <c r="O26" s="511">
        <f>G40</f>
        <v>7147</v>
      </c>
      <c r="P26" s="511">
        <f>H40</f>
        <v>4037308</v>
      </c>
      <c r="Q26" s="511">
        <f t="shared" si="1"/>
        <v>7723.9623321308118</v>
      </c>
      <c r="R26" s="511">
        <f>Q26*C9</f>
        <v>5954493.7665476389</v>
      </c>
      <c r="S26" s="511">
        <f>Q26*F9</f>
        <v>4454357.9630984487</v>
      </c>
    </row>
    <row r="27" spans="4:19" ht="15" thickBot="1">
      <c r="D27" s="542" t="s">
        <v>28</v>
      </c>
      <c r="E27" s="538">
        <v>1</v>
      </c>
      <c r="F27" s="538">
        <v>40</v>
      </c>
      <c r="G27" s="538">
        <v>40</v>
      </c>
      <c r="H27" s="538">
        <v>38315.360000000001</v>
      </c>
      <c r="I27" s="543">
        <v>28</v>
      </c>
      <c r="J27" s="526">
        <f t="shared" si="2"/>
        <v>0.7</v>
      </c>
      <c r="K27" s="452"/>
      <c r="L27" s="452"/>
      <c r="M27" s="1935"/>
      <c r="N27" s="510" t="s">
        <v>389</v>
      </c>
      <c r="O27" s="511">
        <f>G42</f>
        <v>815</v>
      </c>
      <c r="P27" s="511">
        <f>H42</f>
        <v>35351.58</v>
      </c>
      <c r="Q27" s="511">
        <f t="shared" si="1"/>
        <v>815</v>
      </c>
      <c r="R27" s="511">
        <f>Q27*C10</f>
        <v>0</v>
      </c>
      <c r="S27" s="511">
        <f>Q27*F10</f>
        <v>0</v>
      </c>
    </row>
    <row r="28" spans="4:19" ht="15" thickBot="1">
      <c r="D28" s="544" t="s">
        <v>26</v>
      </c>
      <c r="E28" s="545">
        <v>1</v>
      </c>
      <c r="F28" s="545">
        <v>183225</v>
      </c>
      <c r="G28" s="545">
        <v>183225</v>
      </c>
      <c r="H28" s="545">
        <v>153059769.69999999</v>
      </c>
      <c r="I28" s="546">
        <v>112770.36</v>
      </c>
      <c r="J28" s="526">
        <f>(I27+I28)/(G28+G27)</f>
        <v>0.61549319291736015</v>
      </c>
      <c r="K28" s="452">
        <f>(H27+H28)/(G28+G27)</f>
        <v>835.39183728480612</v>
      </c>
      <c r="L28" s="452">
        <f>K28*0.7</f>
        <v>584.77428609936419</v>
      </c>
      <c r="M28" s="1929" t="s">
        <v>18</v>
      </c>
      <c r="N28" s="510" t="s">
        <v>101</v>
      </c>
      <c r="O28" s="511">
        <f>G27+G28</f>
        <v>183265</v>
      </c>
      <c r="P28" s="511">
        <f>H27+H28</f>
        <v>153098085.06</v>
      </c>
      <c r="Q28" s="511">
        <f t="shared" si="1"/>
        <v>180503.57754927163</v>
      </c>
      <c r="R28" s="511">
        <f>Q28*C6</f>
        <v>5582536239.5888586</v>
      </c>
      <c r="S28" s="511">
        <f>Q28*F6</f>
        <v>3895459349.2628837</v>
      </c>
    </row>
    <row r="29" spans="4:19" ht="15" thickBot="1">
      <c r="L29" s="452"/>
      <c r="M29" s="1930"/>
      <c r="N29" s="510" t="s">
        <v>25</v>
      </c>
      <c r="O29" s="511">
        <f>G26</f>
        <v>15511</v>
      </c>
      <c r="P29" s="511">
        <f>H26</f>
        <v>14936756.49</v>
      </c>
      <c r="Q29" s="511">
        <f t="shared" si="1"/>
        <v>15665.722885486883</v>
      </c>
      <c r="R29" s="511">
        <f>Q29*C9</f>
        <v>12076890.75360376</v>
      </c>
      <c r="S29" s="511">
        <f>Q29*F9</f>
        <v>9034318.7190830931</v>
      </c>
    </row>
    <row r="30" spans="4:19" ht="15" thickBot="1">
      <c r="L30" s="452"/>
      <c r="M30" s="1929" t="s">
        <v>257</v>
      </c>
      <c r="N30" s="510" t="s">
        <v>101</v>
      </c>
      <c r="O30" s="511">
        <f>G35</f>
        <v>40893</v>
      </c>
      <c r="P30" s="511">
        <f>H35</f>
        <v>39149035.409999996</v>
      </c>
      <c r="Q30" s="511">
        <f t="shared" si="1"/>
        <v>40405.109275159746</v>
      </c>
      <c r="R30" s="511">
        <f>Q30*C7</f>
        <v>600125594.93551505</v>
      </c>
      <c r="S30" s="511">
        <f>Q30*F7</f>
        <v>416140144.28321093</v>
      </c>
    </row>
    <row r="31" spans="4:19" ht="15" customHeight="1" thickBot="1">
      <c r="D31" s="534" t="s">
        <v>4</v>
      </c>
      <c r="L31" s="452"/>
      <c r="M31" s="1930"/>
      <c r="N31" s="510" t="s">
        <v>25</v>
      </c>
      <c r="O31" s="511">
        <f>F34</f>
        <v>4420</v>
      </c>
      <c r="P31" s="511">
        <f>G34</f>
        <v>4420</v>
      </c>
      <c r="Q31" s="511">
        <f t="shared" si="1"/>
        <v>4420</v>
      </c>
      <c r="R31" s="511">
        <f>Q31*C9</f>
        <v>3407430.1914520049</v>
      </c>
      <c r="S31" s="511">
        <f>Q31*F9</f>
        <v>2548984.7503520562</v>
      </c>
    </row>
    <row r="32" spans="4:19" ht="28.8">
      <c r="D32" s="548" t="s">
        <v>20</v>
      </c>
      <c r="E32" s="549" t="s">
        <v>21</v>
      </c>
      <c r="F32" s="549" t="s">
        <v>22</v>
      </c>
      <c r="G32" s="549" t="s">
        <v>27</v>
      </c>
      <c r="H32" s="549" t="s">
        <v>24</v>
      </c>
      <c r="I32" s="550" t="s">
        <v>24</v>
      </c>
      <c r="K32" s="531" t="s">
        <v>390</v>
      </c>
      <c r="L32" s="595" t="s">
        <v>391</v>
      </c>
    </row>
    <row r="33" spans="4:36" ht="15" thickBot="1">
      <c r="D33" s="551"/>
      <c r="E33" s="547">
        <v>0</v>
      </c>
      <c r="F33" s="547">
        <v>45313</v>
      </c>
      <c r="G33" s="547">
        <v>45313</v>
      </c>
      <c r="H33" s="547">
        <v>42330082.149999999</v>
      </c>
      <c r="I33" s="552">
        <v>934.17100000000005</v>
      </c>
      <c r="L33" s="452"/>
      <c r="T33" s="822" t="s">
        <v>551</v>
      </c>
      <c r="Z33" s="822" t="s">
        <v>552</v>
      </c>
      <c r="AA33" s="643"/>
      <c r="AB33" s="643"/>
      <c r="AC33" s="643"/>
      <c r="AD33" s="643"/>
      <c r="AF33" s="532" t="s">
        <v>553</v>
      </c>
      <c r="AG33" s="643"/>
      <c r="AH33" s="643"/>
      <c r="AI33" s="643"/>
      <c r="AJ33" s="643"/>
    </row>
    <row r="34" spans="4:36" ht="37.799999999999997">
      <c r="D34" s="551" t="s">
        <v>25</v>
      </c>
      <c r="E34" s="547">
        <v>1</v>
      </c>
      <c r="F34" s="547">
        <v>4420</v>
      </c>
      <c r="G34" s="547">
        <v>4420</v>
      </c>
      <c r="H34" s="547">
        <v>3181046.74</v>
      </c>
      <c r="I34" s="552">
        <v>719.69399999999996</v>
      </c>
      <c r="K34" s="452">
        <f>I34</f>
        <v>719.69399999999996</v>
      </c>
      <c r="L34" s="452">
        <f>K34*0.7</f>
        <v>503.78579999999994</v>
      </c>
      <c r="T34" s="520" t="s">
        <v>0</v>
      </c>
      <c r="U34" s="527" t="s">
        <v>366</v>
      </c>
      <c r="V34" s="527" t="s">
        <v>361</v>
      </c>
      <c r="W34" s="527" t="s">
        <v>362</v>
      </c>
      <c r="X34" s="527" t="s">
        <v>363</v>
      </c>
      <c r="Z34" s="596" t="s">
        <v>0</v>
      </c>
      <c r="AA34" s="527" t="s">
        <v>366</v>
      </c>
      <c r="AB34" s="527" t="s">
        <v>361</v>
      </c>
      <c r="AC34" s="527" t="s">
        <v>362</v>
      </c>
      <c r="AD34" s="527" t="s">
        <v>363</v>
      </c>
      <c r="AF34" s="596" t="s">
        <v>0</v>
      </c>
      <c r="AG34" s="527" t="s">
        <v>366</v>
      </c>
      <c r="AH34" s="527" t="s">
        <v>361</v>
      </c>
      <c r="AI34" s="527" t="s">
        <v>362</v>
      </c>
      <c r="AJ34" s="527" t="s">
        <v>363</v>
      </c>
    </row>
    <row r="35" spans="4:36" ht="15" thickBot="1">
      <c r="D35" s="553" t="s">
        <v>26</v>
      </c>
      <c r="E35" s="554">
        <v>1</v>
      </c>
      <c r="F35" s="554">
        <v>40893</v>
      </c>
      <c r="G35" s="554">
        <v>40893</v>
      </c>
      <c r="H35" s="554">
        <v>39149035.409999996</v>
      </c>
      <c r="I35" s="555">
        <v>957.35299999999995</v>
      </c>
      <c r="K35" s="452">
        <f>I35</f>
        <v>957.35299999999995</v>
      </c>
      <c r="L35" s="452">
        <f>K35*0.7</f>
        <v>670.14709999999991</v>
      </c>
      <c r="T35" s="1924" t="s">
        <v>256</v>
      </c>
      <c r="U35" s="524" t="s">
        <v>241</v>
      </c>
      <c r="V35" s="536">
        <f>P25</f>
        <v>41137792</v>
      </c>
      <c r="W35" s="536">
        <f>R25</f>
        <v>1851488324.7341008</v>
      </c>
      <c r="X35" s="535">
        <f>W35/V35</f>
        <v>45.006993198227576</v>
      </c>
      <c r="Z35" s="1924" t="s">
        <v>256</v>
      </c>
      <c r="AA35" s="524" t="s">
        <v>397</v>
      </c>
      <c r="AB35" s="536">
        <f>'kW Claims'!G7</f>
        <v>9140.66</v>
      </c>
      <c r="AC35" s="536">
        <f>Q25*'kW Claims'!P5</f>
        <v>6194.2010346028928</v>
      </c>
      <c r="AD35" s="535">
        <f>AC35/AB35</f>
        <v>0.67765358678726628</v>
      </c>
      <c r="AF35" s="1924" t="s">
        <v>256</v>
      </c>
      <c r="AG35" s="524" t="s">
        <v>408</v>
      </c>
      <c r="AH35" s="536">
        <f>'kW Claims'!H7</f>
        <v>-414596.98</v>
      </c>
      <c r="AI35" s="536">
        <f>Q25*'kW Claims'!P15</f>
        <v>-280953.13056816848</v>
      </c>
      <c r="AJ35" s="535">
        <f>AI35/AH35</f>
        <v>0.67765358678726628</v>
      </c>
    </row>
    <row r="36" spans="4:36">
      <c r="L36" s="452"/>
      <c r="T36" s="1925"/>
      <c r="U36" s="524" t="s">
        <v>360</v>
      </c>
      <c r="V36" s="535">
        <v>0.61</v>
      </c>
      <c r="W36" s="535">
        <f>W37/W35</f>
        <v>0.64814892250926592</v>
      </c>
      <c r="X36" s="524"/>
      <c r="Z36" s="1925"/>
      <c r="AA36" s="524" t="s">
        <v>360</v>
      </c>
      <c r="AB36" s="524">
        <v>0.61</v>
      </c>
      <c r="AC36" s="535">
        <f>AC37/AC35</f>
        <v>0.67453583392976058</v>
      </c>
      <c r="AD36" s="524"/>
      <c r="AF36" s="1925"/>
      <c r="AG36" s="524" t="s">
        <v>360</v>
      </c>
      <c r="AH36" s="524">
        <v>0.61</v>
      </c>
      <c r="AI36" s="535">
        <f>AI37/AI35</f>
        <v>0.67453583392976069</v>
      </c>
      <c r="AJ36" s="524"/>
    </row>
    <row r="37" spans="4:36" ht="15" thickBot="1">
      <c r="D37" s="534" t="s">
        <v>17</v>
      </c>
      <c r="L37" s="452"/>
      <c r="O37" s="1931" t="s">
        <v>241</v>
      </c>
      <c r="P37" s="1931"/>
      <c r="T37" s="1926"/>
      <c r="U37" s="524" t="s">
        <v>128</v>
      </c>
      <c r="V37" s="536">
        <f>V35*V36</f>
        <v>25094053.120000001</v>
      </c>
      <c r="W37" s="536">
        <f>S25</f>
        <v>1200040162.7148933</v>
      </c>
      <c r="X37" s="535">
        <f t="shared" ref="X37" si="3">W37/V37</f>
        <v>47.821695322644366</v>
      </c>
      <c r="Z37" s="1926"/>
      <c r="AA37" s="524" t="s">
        <v>407</v>
      </c>
      <c r="AB37" s="536">
        <f>AB35*AB36</f>
        <v>5575.8026</v>
      </c>
      <c r="AC37" s="536">
        <f>Q25*'kW Claims'!R5</f>
        <v>4178.2105604044482</v>
      </c>
      <c r="AD37" s="535">
        <f t="shared" ref="AD37" si="4">AC37/AB37</f>
        <v>0.74934692996564267</v>
      </c>
      <c r="AF37" s="1926"/>
      <c r="AG37" s="524" t="s">
        <v>409</v>
      </c>
      <c r="AH37" s="536">
        <f>AH35*AH36</f>
        <v>-252904.15779999999</v>
      </c>
      <c r="AI37" s="536">
        <f>Q25*'kW Claims'!R15</f>
        <v>-189512.95422297646</v>
      </c>
      <c r="AJ37" s="535">
        <f t="shared" ref="AJ37" si="5">AI37/AH37</f>
        <v>0.74934692996564278</v>
      </c>
    </row>
    <row r="38" spans="4:36" ht="28.8">
      <c r="D38" s="557" t="s">
        <v>20</v>
      </c>
      <c r="E38" s="558" t="s">
        <v>21</v>
      </c>
      <c r="F38" s="558" t="s">
        <v>22</v>
      </c>
      <c r="G38" s="558" t="s">
        <v>23</v>
      </c>
      <c r="H38" s="558" t="s">
        <v>24</v>
      </c>
      <c r="I38" s="559" t="s">
        <v>24</v>
      </c>
      <c r="L38" s="452"/>
      <c r="M38" s="524"/>
      <c r="N38" s="524" t="s">
        <v>371</v>
      </c>
      <c r="O38" s="529" t="s">
        <v>374</v>
      </c>
      <c r="P38" s="529" t="s">
        <v>375</v>
      </c>
      <c r="T38" s="1924" t="s">
        <v>18</v>
      </c>
      <c r="U38" s="524" t="s">
        <v>241</v>
      </c>
      <c r="V38" s="536">
        <f>P28</f>
        <v>153098085.06</v>
      </c>
      <c r="W38" s="536">
        <f>R28</f>
        <v>5582536239.5888586</v>
      </c>
      <c r="X38" s="535">
        <f>W38/V38</f>
        <v>36.463788801806572</v>
      </c>
      <c r="Z38" s="1924" t="s">
        <v>18</v>
      </c>
      <c r="AA38" s="524" t="s">
        <v>397</v>
      </c>
      <c r="AB38" s="536">
        <f>'kW Claims'!G18+'kW Claims'!G17</f>
        <v>29648.850000000002</v>
      </c>
      <c r="AC38" s="536">
        <f>Q28*'kW Claims'!P7</f>
        <v>18130.438474406437</v>
      </c>
      <c r="AD38" s="535">
        <f>AC38/AB38</f>
        <v>0.6115056224577492</v>
      </c>
      <c r="AF38" s="1924" t="s">
        <v>18</v>
      </c>
      <c r="AG38" s="524" t="s">
        <v>408</v>
      </c>
      <c r="AH38" s="536">
        <f>'kW Claims'!H19</f>
        <v>-3215361.41</v>
      </c>
      <c r="AI38" s="536">
        <f>Q28*'kW Claims'!P17</f>
        <v>-1966211.5804486759</v>
      </c>
      <c r="AJ38" s="535">
        <f>AI38/AH38</f>
        <v>0.61150562245774909</v>
      </c>
    </row>
    <row r="39" spans="4:36">
      <c r="D39" s="560"/>
      <c r="E39" s="556">
        <v>0</v>
      </c>
      <c r="F39" s="556">
        <v>63704</v>
      </c>
      <c r="G39" s="556">
        <v>63704</v>
      </c>
      <c r="H39" s="556">
        <v>45210451.579999998</v>
      </c>
      <c r="I39" s="561">
        <v>709.69600000000003</v>
      </c>
      <c r="L39" s="452"/>
      <c r="M39" s="1784" t="s">
        <v>372</v>
      </c>
      <c r="N39" s="524" t="s">
        <v>101</v>
      </c>
      <c r="O39" s="125">
        <f>I41</f>
        <v>738.00400000000002</v>
      </c>
      <c r="P39" s="125">
        <f>C5</f>
        <v>33878.488066165693</v>
      </c>
      <c r="T39" s="1925"/>
      <c r="U39" s="524" t="s">
        <v>360</v>
      </c>
      <c r="V39" s="535">
        <f>J28</f>
        <v>0.61549319291736015</v>
      </c>
      <c r="W39" s="535">
        <f>W40/W38</f>
        <v>0.69779383098994008</v>
      </c>
      <c r="X39" s="524"/>
      <c r="Z39" s="1925"/>
      <c r="AA39" s="524" t="s">
        <v>360</v>
      </c>
      <c r="AB39" s="535">
        <f>J28</f>
        <v>0.61549319291736015</v>
      </c>
      <c r="AC39" s="535">
        <f>AC40/AC38</f>
        <v>0.67941332019809786</v>
      </c>
      <c r="AD39" s="524"/>
      <c r="AF39" s="1925"/>
      <c r="AG39" s="524" t="s">
        <v>360</v>
      </c>
      <c r="AH39" s="535">
        <f>J28</f>
        <v>0.61549319291736015</v>
      </c>
      <c r="AI39" s="535">
        <f>AI40/AI38</f>
        <v>0.67941332019809775</v>
      </c>
      <c r="AJ39" s="524"/>
    </row>
    <row r="40" spans="4:36">
      <c r="D40" s="560" t="s">
        <v>25</v>
      </c>
      <c r="E40" s="556">
        <v>1</v>
      </c>
      <c r="F40" s="556">
        <v>7147</v>
      </c>
      <c r="G40" s="556">
        <v>7147</v>
      </c>
      <c r="H40" s="556">
        <v>4037308</v>
      </c>
      <c r="I40" s="561">
        <v>564.89499999999998</v>
      </c>
      <c r="K40" s="452">
        <f>I40</f>
        <v>564.89499999999998</v>
      </c>
      <c r="L40" s="452">
        <f>K40*0.7</f>
        <v>395.42649999999998</v>
      </c>
      <c r="M40" s="1784"/>
      <c r="N40" s="524" t="s">
        <v>368</v>
      </c>
      <c r="O40" s="125">
        <f>I40</f>
        <v>564.89499999999998</v>
      </c>
      <c r="P40" s="125">
        <f>C9</f>
        <v>770.91180802081556</v>
      </c>
      <c r="T40" s="1926"/>
      <c r="U40" s="524" t="s">
        <v>128</v>
      </c>
      <c r="V40" s="536">
        <f>V38*V39</f>
        <v>94230829.20311299</v>
      </c>
      <c r="W40" s="536">
        <f>S28</f>
        <v>3895459349.2628837</v>
      </c>
      <c r="X40" s="535">
        <f>W40/V40</f>
        <v>41.339542294234569</v>
      </c>
      <c r="Z40" s="1926"/>
      <c r="AA40" s="524" t="s">
        <v>407</v>
      </c>
      <c r="AB40" s="536">
        <f>AB38*AB39</f>
        <v>18248.665352827877</v>
      </c>
      <c r="AC40" s="536">
        <f>Q28*'kW Claims'!R7</f>
        <v>12318.061400543813</v>
      </c>
      <c r="AD40" s="535">
        <f>AC40/AB40</f>
        <v>0.67501163303621892</v>
      </c>
      <c r="AF40" s="1926"/>
      <c r="AG40" s="524" t="s">
        <v>409</v>
      </c>
      <c r="AH40" s="536">
        <f>AH38*AH39</f>
        <v>-1979033.0606241652</v>
      </c>
      <c r="AI40" s="536">
        <f>Q28*'kW Claims'!R17</f>
        <v>-1335870.3380845841</v>
      </c>
      <c r="AJ40" s="535">
        <f>AI40/AH40</f>
        <v>0.67501163303621892</v>
      </c>
    </row>
    <row r="41" spans="4:36">
      <c r="D41" s="560" t="s">
        <v>26</v>
      </c>
      <c r="E41" s="556">
        <v>1</v>
      </c>
      <c r="F41" s="556">
        <v>55742</v>
      </c>
      <c r="G41" s="556">
        <v>55742</v>
      </c>
      <c r="H41" s="556">
        <v>41137792</v>
      </c>
      <c r="I41" s="561">
        <v>738.00400000000002</v>
      </c>
      <c r="K41" s="452">
        <f>I41</f>
        <v>738.00400000000002</v>
      </c>
      <c r="L41" s="452">
        <f>K41*0.7</f>
        <v>516.6028</v>
      </c>
      <c r="M41" s="1784" t="s">
        <v>369</v>
      </c>
      <c r="N41" s="524" t="s">
        <v>101</v>
      </c>
      <c r="O41" s="125">
        <f>K28</f>
        <v>835.39183728480612</v>
      </c>
      <c r="P41" s="125">
        <f>C6</f>
        <v>30927.565621601083</v>
      </c>
      <c r="T41" s="1924" t="s">
        <v>257</v>
      </c>
      <c r="U41" s="524" t="s">
        <v>241</v>
      </c>
      <c r="V41" s="536">
        <f>P30</f>
        <v>39149035.409999996</v>
      </c>
      <c r="W41" s="536">
        <f>R30</f>
        <v>600125594.93551505</v>
      </c>
      <c r="X41" s="535">
        <f>W41/V41</f>
        <v>15.329256229445248</v>
      </c>
      <c r="Z41" s="1924" t="s">
        <v>257</v>
      </c>
      <c r="AA41" s="524" t="s">
        <v>397</v>
      </c>
      <c r="AB41" s="536">
        <f>'kW Claims'!G27</f>
        <v>6090.43</v>
      </c>
      <c r="AC41" s="536">
        <f>Q30*'kW Claims'!P9</f>
        <v>2418.9152020039055</v>
      </c>
      <c r="AD41" s="535">
        <f>AC41/AB41</f>
        <v>0.39716657149066736</v>
      </c>
      <c r="AF41" s="1924" t="s">
        <v>257</v>
      </c>
      <c r="AG41" s="524" t="s">
        <v>408</v>
      </c>
      <c r="AH41" s="536">
        <f>'kW Claims'!H27</f>
        <v>-386648.93</v>
      </c>
      <c r="AI41" s="536">
        <f>Q30*'kW Claims'!P19</f>
        <v>-153564.02989863505</v>
      </c>
      <c r="AJ41" s="535">
        <f>AI41/AH41</f>
        <v>0.39716657149066742</v>
      </c>
    </row>
    <row r="42" spans="4:36" ht="15" thickBot="1">
      <c r="D42" s="562" t="s">
        <v>373</v>
      </c>
      <c r="E42" s="563">
        <v>1</v>
      </c>
      <c r="F42" s="563">
        <v>815</v>
      </c>
      <c r="G42" s="563">
        <v>815</v>
      </c>
      <c r="H42" s="563">
        <v>35351.58</v>
      </c>
      <c r="I42" s="564">
        <v>43.375999999999998</v>
      </c>
      <c r="M42" s="1784"/>
      <c r="N42" s="524" t="s">
        <v>368</v>
      </c>
      <c r="O42" s="125">
        <f>K26</f>
        <v>962.97830507381855</v>
      </c>
      <c r="P42" s="125">
        <f>C9</f>
        <v>770.91180802081556</v>
      </c>
      <c r="T42" s="1925"/>
      <c r="U42" s="524" t="s">
        <v>360</v>
      </c>
      <c r="V42" s="535">
        <v>0.61399999999999999</v>
      </c>
      <c r="W42" s="535">
        <f>W43/W41</f>
        <v>0.69342175670398831</v>
      </c>
      <c r="X42" s="524"/>
      <c r="Z42" s="1925"/>
      <c r="AA42" s="524" t="s">
        <v>360</v>
      </c>
      <c r="AB42" s="535">
        <v>0.61399999999999999</v>
      </c>
      <c r="AC42" s="535">
        <f>AC43/AC41</f>
        <v>0.70581229045403471</v>
      </c>
      <c r="AD42" s="524"/>
      <c r="AF42" s="1925"/>
      <c r="AG42" s="524" t="s">
        <v>360</v>
      </c>
      <c r="AH42" s="535">
        <v>0.61399999999999999</v>
      </c>
      <c r="AI42" s="535">
        <f>AI43/AI41</f>
        <v>0.7058122904540346</v>
      </c>
      <c r="AJ42" s="524"/>
    </row>
    <row r="43" spans="4:36">
      <c r="M43" s="1784" t="s">
        <v>370</v>
      </c>
      <c r="N43" s="524" t="s">
        <v>101</v>
      </c>
      <c r="O43" s="125">
        <f>I35</f>
        <v>957.35299999999995</v>
      </c>
      <c r="P43" s="125">
        <f>C7</f>
        <v>14852.715552596223</v>
      </c>
      <c r="T43" s="1926"/>
      <c r="U43" s="524" t="s">
        <v>128</v>
      </c>
      <c r="V43" s="536">
        <f>V41*V42</f>
        <v>24037507.741739996</v>
      </c>
      <c r="W43" s="536">
        <f>S30</f>
        <v>416140144.28321093</v>
      </c>
      <c r="X43" s="535">
        <f>W43/V43</f>
        <v>17.312116911380262</v>
      </c>
      <c r="Z43" s="1926"/>
      <c r="AA43" s="524" t="s">
        <v>407</v>
      </c>
      <c r="AB43" s="536">
        <f>AB41*AB42</f>
        <v>3739.5240200000003</v>
      </c>
      <c r="AC43" s="536">
        <f>Q30*'kW Claims'!R9</f>
        <v>1707.3000791404606</v>
      </c>
      <c r="AD43" s="535">
        <f>AC43/AB43</f>
        <v>0.45655545197981118</v>
      </c>
      <c r="AF43" s="1926"/>
      <c r="AG43" s="524" t="s">
        <v>409</v>
      </c>
      <c r="AH43" s="536">
        <f>AH41*AH42</f>
        <v>-237402.44302000001</v>
      </c>
      <c r="AI43" s="536">
        <f>Q30*'kW Claims'!R19</f>
        <v>-108387.37967410746</v>
      </c>
      <c r="AJ43" s="535">
        <f>AI43/AH43</f>
        <v>0.45655545197981112</v>
      </c>
    </row>
    <row r="44" spans="4:36">
      <c r="M44" s="1784"/>
      <c r="N44" s="524" t="s">
        <v>368</v>
      </c>
      <c r="O44" s="125">
        <f>I34</f>
        <v>719.69399999999996</v>
      </c>
      <c r="P44" s="125">
        <f>C9</f>
        <v>770.91180802081556</v>
      </c>
      <c r="T44" s="1927"/>
      <c r="U44" s="1928"/>
      <c r="V44" s="1928"/>
      <c r="W44" s="1928"/>
      <c r="X44" s="1928"/>
      <c r="Z44" s="1927"/>
      <c r="AA44" s="1928"/>
      <c r="AB44" s="1928"/>
      <c r="AC44" s="1928"/>
      <c r="AD44" s="1928"/>
      <c r="AF44" s="1927"/>
      <c r="AG44" s="1928"/>
      <c r="AH44" s="1928"/>
      <c r="AI44" s="1928"/>
      <c r="AJ44" s="1928"/>
    </row>
    <row r="45" spans="4:36">
      <c r="T45" s="1924" t="s">
        <v>5</v>
      </c>
      <c r="U45" s="524" t="s">
        <v>241</v>
      </c>
      <c r="V45" s="536">
        <f>V35+V38+V41</f>
        <v>233384912.47</v>
      </c>
      <c r="W45" s="536">
        <f>W35+W38+W41</f>
        <v>8034150159.2584753</v>
      </c>
      <c r="X45" s="535">
        <f>W45/V45</f>
        <v>34.424462465161319</v>
      </c>
      <c r="Z45" s="1924" t="s">
        <v>5</v>
      </c>
      <c r="AA45" s="524" t="s">
        <v>397</v>
      </c>
      <c r="AB45" s="536">
        <f>AB35+AB38+AB41</f>
        <v>44879.94</v>
      </c>
      <c r="AC45" s="536">
        <f>AC35+AC38+AC41</f>
        <v>26743.554711013232</v>
      </c>
      <c r="AD45" s="535">
        <f>AC45/AB45</f>
        <v>0.59589105313004498</v>
      </c>
      <c r="AF45" s="1924" t="s">
        <v>5</v>
      </c>
      <c r="AG45" s="524" t="s">
        <v>408</v>
      </c>
      <c r="AH45" s="536">
        <f>AH35+AH38+AH41</f>
        <v>-4016607.3200000003</v>
      </c>
      <c r="AI45" s="536">
        <f>AI35+AI38+AI41</f>
        <v>-2400728.7409154796</v>
      </c>
      <c r="AJ45" s="535">
        <f>AI45/AH45</f>
        <v>0.59770063380641336</v>
      </c>
    </row>
    <row r="46" spans="4:36">
      <c r="T46" s="1925"/>
      <c r="U46" s="524" t="s">
        <v>360</v>
      </c>
      <c r="V46" s="535">
        <f>V47/V45</f>
        <v>0.61427445565180316</v>
      </c>
      <c r="W46" s="535">
        <f>W47/W45</f>
        <v>0.68602646789087318</v>
      </c>
      <c r="X46" s="524"/>
      <c r="Z46" s="1925"/>
      <c r="AA46" s="524" t="s">
        <v>360</v>
      </c>
      <c r="AB46" s="535">
        <f>AB47/AB45</f>
        <v>0.61417176522134109</v>
      </c>
      <c r="AC46" s="535">
        <f>AC47/AC45</f>
        <v>0.68067137060849758</v>
      </c>
      <c r="AD46" s="524"/>
      <c r="AF46" s="1925"/>
      <c r="AG46" s="524" t="s">
        <v>360</v>
      </c>
      <c r="AH46" s="535">
        <f>AH47/AH45</f>
        <v>0.61478244317001474</v>
      </c>
      <c r="AI46" s="535">
        <f>AI47/AI45</f>
        <v>0.68053114212256061</v>
      </c>
      <c r="AJ46" s="524"/>
    </row>
    <row r="47" spans="4:36">
      <c r="G47" t="s">
        <v>376</v>
      </c>
      <c r="H47">
        <f>(H26+H34+H40)/(G26+G34+G40)</f>
        <v>818.19599785803973</v>
      </c>
      <c r="T47" s="1926"/>
      <c r="U47" s="524" t="s">
        <v>128</v>
      </c>
      <c r="V47" s="536">
        <f>V37+V40+V43</f>
        <v>143362390.06485298</v>
      </c>
      <c r="W47" s="536">
        <f>W37+W40+W43</f>
        <v>5511639656.2609882</v>
      </c>
      <c r="X47" s="535">
        <f>W47/V47</f>
        <v>38.445506201226713</v>
      </c>
      <c r="Z47" s="1926"/>
      <c r="AA47" s="524" t="s">
        <v>407</v>
      </c>
      <c r="AB47" s="536">
        <f>AB37+AB40+AB43</f>
        <v>27563.991972827876</v>
      </c>
      <c r="AC47" s="536">
        <f>AC37+AC40+AC43</f>
        <v>18203.572040088718</v>
      </c>
      <c r="AD47" s="535">
        <f>AC47/AB47</f>
        <v>0.66041130972732454</v>
      </c>
      <c r="AF47" s="1926"/>
      <c r="AG47" s="524" t="s">
        <v>409</v>
      </c>
      <c r="AH47" s="536">
        <f>AH37+AH40+AH43</f>
        <v>-2469339.6614441653</v>
      </c>
      <c r="AI47" s="536">
        <f>AI37+AI40+AI43</f>
        <v>-1633770.6719816681</v>
      </c>
      <c r="AJ47" s="535">
        <f>AI47/AH47</f>
        <v>0.66162249669054274</v>
      </c>
    </row>
    <row r="48" spans="4:36">
      <c r="Z48" s="643"/>
      <c r="AA48" s="643"/>
      <c r="AB48" s="643"/>
      <c r="AC48" s="643"/>
      <c r="AD48" s="643"/>
      <c r="AF48" s="643"/>
      <c r="AG48" s="643"/>
      <c r="AH48" s="643"/>
      <c r="AI48" s="643"/>
      <c r="AJ48" s="643"/>
    </row>
    <row r="49" spans="13:40" ht="15" thickBot="1">
      <c r="T49" t="s">
        <v>405</v>
      </c>
      <c r="Z49" s="643" t="s">
        <v>406</v>
      </c>
      <c r="AA49" s="643"/>
      <c r="AB49" s="643"/>
      <c r="AC49" s="643"/>
      <c r="AD49" s="643"/>
      <c r="AF49" s="643" t="s">
        <v>410</v>
      </c>
      <c r="AG49" s="643"/>
      <c r="AH49" s="643"/>
      <c r="AI49" s="643"/>
      <c r="AJ49" s="643"/>
    </row>
    <row r="50" spans="13:40" ht="38.4" thickBot="1">
      <c r="M50" s="822" t="s">
        <v>558</v>
      </c>
      <c r="T50" s="523" t="s">
        <v>0</v>
      </c>
      <c r="U50" s="527" t="s">
        <v>366</v>
      </c>
      <c r="V50" s="527" t="s">
        <v>361</v>
      </c>
      <c r="W50" s="527" t="s">
        <v>362</v>
      </c>
      <c r="X50" s="527" t="s">
        <v>363</v>
      </c>
      <c r="Z50" s="596" t="s">
        <v>0</v>
      </c>
      <c r="AA50" s="527" t="s">
        <v>366</v>
      </c>
      <c r="AB50" s="527" t="s">
        <v>361</v>
      </c>
      <c r="AC50" s="527" t="s">
        <v>362</v>
      </c>
      <c r="AD50" s="527" t="s">
        <v>363</v>
      </c>
      <c r="AF50" s="596" t="s">
        <v>0</v>
      </c>
      <c r="AG50" s="527" t="s">
        <v>366</v>
      </c>
      <c r="AH50" s="527" t="s">
        <v>361</v>
      </c>
      <c r="AI50" s="527" t="s">
        <v>362</v>
      </c>
      <c r="AJ50" s="527" t="s">
        <v>363</v>
      </c>
    </row>
    <row r="51" spans="13:40" ht="48" thickBot="1">
      <c r="M51" s="827" t="s">
        <v>0</v>
      </c>
      <c r="N51" s="828" t="s">
        <v>554</v>
      </c>
      <c r="O51" s="828" t="s">
        <v>555</v>
      </c>
      <c r="P51" s="828" t="s">
        <v>556</v>
      </c>
      <c r="Q51" s="828" t="s">
        <v>557</v>
      </c>
      <c r="T51" s="1784" t="s">
        <v>256</v>
      </c>
      <c r="U51" s="524" t="s">
        <v>241</v>
      </c>
      <c r="V51" s="536">
        <f>P26+P29+P31</f>
        <v>18978484.490000002</v>
      </c>
      <c r="W51" s="536">
        <f>R26+R29+R31</f>
        <v>21438814.711603403</v>
      </c>
      <c r="X51" s="535">
        <f>W51/V51</f>
        <v>1.1296378655998469</v>
      </c>
      <c r="Z51" s="1784" t="s">
        <v>291</v>
      </c>
      <c r="AA51" s="524" t="s">
        <v>397</v>
      </c>
      <c r="AB51" s="536">
        <f>'kW Claims'!G6+'kW Claims'!G16+'kW Claims'!G26</f>
        <v>4387.5999999999995</v>
      </c>
      <c r="AC51" s="536">
        <f>('Summary Tables'!Q26*'kW Claims'!P6)+('kW Claims'!P8*'Summary Tables'!Q29)+('Summary Tables'!Q31*'kW Claims'!P10)</f>
        <v>4305.4222374484734</v>
      </c>
      <c r="AD51" s="535">
        <f>AC51/AB51</f>
        <v>0.98127045251355505</v>
      </c>
      <c r="AF51" s="1784" t="s">
        <v>291</v>
      </c>
      <c r="AG51" s="524" t="s">
        <v>408</v>
      </c>
      <c r="AH51" s="536">
        <f>'kW Claims'!H6+'kW Claims'!H16+'kW Claims'!H26</f>
        <v>-345291.96</v>
      </c>
      <c r="AI51" s="536">
        <f>('Summary Tables'!Q26*'kW Claims'!P16)+('kW Claims'!P18*'Summary Tables'!Q29)+('Summary Tables'!Q31*'kW Claims'!P20)</f>
        <v>-300264.23622891272</v>
      </c>
      <c r="AJ51" s="535">
        <f>AI51/AH51</f>
        <v>0.86959521510119353</v>
      </c>
    </row>
    <row r="52" spans="13:40" ht="15" thickBot="1">
      <c r="M52" s="1572" t="s">
        <v>290</v>
      </c>
      <c r="N52" s="1573"/>
      <c r="O52" s="1573"/>
      <c r="P52" s="1573"/>
      <c r="Q52" s="1574"/>
      <c r="T52" s="1784"/>
      <c r="U52" s="524" t="s">
        <v>360</v>
      </c>
      <c r="V52" s="533">
        <v>0.7</v>
      </c>
      <c r="W52" s="533">
        <f>W53/W51</f>
        <v>0.74806660947787751</v>
      </c>
      <c r="X52" s="524"/>
      <c r="Z52" s="1784"/>
      <c r="AA52" s="524" t="s">
        <v>360</v>
      </c>
      <c r="AB52" s="533">
        <v>0.7</v>
      </c>
      <c r="AC52" s="533">
        <f>AC53/AC51</f>
        <v>0.74806660947787751</v>
      </c>
      <c r="AD52" s="524"/>
      <c r="AF52" s="1784"/>
      <c r="AG52" s="524" t="s">
        <v>360</v>
      </c>
      <c r="AH52" s="533">
        <v>0.7</v>
      </c>
      <c r="AI52" s="533">
        <f>AI53/AI51</f>
        <v>0.74806660947787751</v>
      </c>
      <c r="AJ52" s="524"/>
    </row>
    <row r="53" spans="13:40" ht="15" thickBot="1">
      <c r="M53" s="829" t="s">
        <v>256</v>
      </c>
      <c r="N53" s="831">
        <f>O39</f>
        <v>738.00400000000002</v>
      </c>
      <c r="O53" s="831">
        <f>P39</f>
        <v>33878.488066165693</v>
      </c>
      <c r="P53" s="831">
        <f>N53*0.614</f>
        <v>453.134456</v>
      </c>
      <c r="Q53" s="831">
        <f>'PGE REF NTG'!CF37</f>
        <v>21958.30553632832</v>
      </c>
      <c r="T53" s="1784"/>
      <c r="U53" s="524" t="s">
        <v>128</v>
      </c>
      <c r="V53" s="536">
        <f>V51*V52</f>
        <v>13284939.143000001</v>
      </c>
      <c r="W53" s="536">
        <f>S26+S29+S31</f>
        <v>16037661.432533598</v>
      </c>
      <c r="X53" s="535">
        <f t="shared" ref="X53" si="6">W53/V53</f>
        <v>1.2072062400815768</v>
      </c>
      <c r="Z53" s="1784"/>
      <c r="AA53" s="524" t="s">
        <v>407</v>
      </c>
      <c r="AB53" s="536">
        <f>AB51*AB52</f>
        <v>3071.3199999999993</v>
      </c>
      <c r="AC53" s="536">
        <f>('Summary Tables'!Q26*'kW Claims'!R6)+('kW Claims'!R8*'Summary Tables'!Q29)+('Summary Tables'!Q31*'kW Claims'!R10)</f>
        <v>3220.7426155387366</v>
      </c>
      <c r="AD53" s="535">
        <f t="shared" ref="AD53" si="7">AC53/AB53</f>
        <v>1.048650943418054</v>
      </c>
      <c r="AF53" s="1784"/>
      <c r="AG53" s="524" t="s">
        <v>409</v>
      </c>
      <c r="AH53" s="536">
        <f>AH51*AH52</f>
        <v>-241704.372</v>
      </c>
      <c r="AI53" s="536">
        <f>('Summary Tables'!Q26*'kW Claims'!R16)+('kW Claims'!R18*'Summary Tables'!Q29)+('Summary Tables'!Q31*'kW Claims'!R20)</f>
        <v>-224617.6491432272</v>
      </c>
      <c r="AJ53" s="535">
        <f t="shared" ref="AJ53" si="8">AI53/AH53</f>
        <v>0.92930734882705057</v>
      </c>
    </row>
    <row r="54" spans="13:40" ht="15" thickBot="1">
      <c r="M54" s="829" t="s">
        <v>18</v>
      </c>
      <c r="N54" s="831">
        <f>O41</f>
        <v>835.39183728480612</v>
      </c>
      <c r="O54" s="831">
        <f>P41</f>
        <v>30927.565621601083</v>
      </c>
      <c r="P54" s="831">
        <f>N54*0.614</f>
        <v>512.93058809287095</v>
      </c>
      <c r="Q54" s="832">
        <f>'SCE REF NTG'!AW37</f>
        <v>21581.064498289787</v>
      </c>
    </row>
    <row r="55" spans="13:40" ht="15" thickBot="1">
      <c r="M55" s="829" t="s">
        <v>257</v>
      </c>
      <c r="N55" s="831">
        <f>O43</f>
        <v>957.35299999999995</v>
      </c>
      <c r="O55" s="831">
        <f>P43</f>
        <v>14852.715552596223</v>
      </c>
      <c r="P55" s="831">
        <f>N55*0.614</f>
        <v>587.81474199999991</v>
      </c>
      <c r="Q55" s="832">
        <f>'SDGE REF NTG'!AW37</f>
        <v>10299.19611030592</v>
      </c>
    </row>
    <row r="56" spans="13:40" ht="15" thickBot="1">
      <c r="M56" s="1572" t="s">
        <v>289</v>
      </c>
      <c r="N56" s="1573"/>
      <c r="O56" s="1573"/>
      <c r="P56" s="1573"/>
      <c r="Q56" s="1574"/>
      <c r="AL56" s="115" t="s">
        <v>546</v>
      </c>
    </row>
    <row r="57" spans="13:40" ht="51" thickBot="1">
      <c r="M57" s="829" t="s">
        <v>256</v>
      </c>
      <c r="N57" s="830">
        <v>565</v>
      </c>
      <c r="O57" s="1562">
        <f>'All IOU FRZ NTG'!AQ28</f>
        <v>770.91180802081556</v>
      </c>
      <c r="P57" s="830">
        <v>395</v>
      </c>
      <c r="Q57" s="1562">
        <f>'All IOU FRZ NTG'!AS28</f>
        <v>576.69338243259187</v>
      </c>
      <c r="AL57" s="817" t="s">
        <v>0</v>
      </c>
      <c r="AM57" s="792" t="s">
        <v>243</v>
      </c>
      <c r="AN57" s="792" t="s">
        <v>547</v>
      </c>
    </row>
    <row r="58" spans="13:40" ht="15" thickBot="1">
      <c r="M58" s="829" t="s">
        <v>18</v>
      </c>
      <c r="N58" s="830">
        <v>963</v>
      </c>
      <c r="O58" s="1563"/>
      <c r="P58" s="830">
        <v>674</v>
      </c>
      <c r="Q58" s="1563"/>
      <c r="AL58" s="791" t="s">
        <v>256</v>
      </c>
      <c r="AM58" s="820">
        <f>'PGE REF NTG'!AU37</f>
        <v>33878.488066165693</v>
      </c>
      <c r="AN58" s="821">
        <f>'PGE REF NTG'!AV37</f>
        <v>8648.3122374502036</v>
      </c>
    </row>
    <row r="59" spans="13:40" ht="15" thickBot="1">
      <c r="M59" s="829" t="s">
        <v>257</v>
      </c>
      <c r="N59" s="830">
        <v>720</v>
      </c>
      <c r="O59" s="1564"/>
      <c r="P59" s="830">
        <v>504</v>
      </c>
      <c r="Q59" s="1564"/>
      <c r="AL59" s="791" t="s">
        <v>18</v>
      </c>
      <c r="AM59" s="820">
        <f>'SCE REF NTG'!AU37</f>
        <v>30927.565621601083</v>
      </c>
      <c r="AN59" s="821" t="e">
        <f>'SCE REF NTG'!AV37</f>
        <v>#REF!</v>
      </c>
    </row>
    <row r="60" spans="13:40" ht="15" thickBot="1">
      <c r="AL60" s="791" t="s">
        <v>257</v>
      </c>
      <c r="AM60" s="820">
        <f>'SDGE REF NTG'!AU37</f>
        <v>14852.715552596223</v>
      </c>
      <c r="AN60" s="821" t="e">
        <f>'SDGE REF NTG'!AV37</f>
        <v>#REF!</v>
      </c>
    </row>
    <row r="61" spans="13:40" ht="15" thickBot="1">
      <c r="AL61" s="791" t="s">
        <v>289</v>
      </c>
      <c r="AM61" s="818">
        <v>778</v>
      </c>
      <c r="AN61" s="819">
        <v>139</v>
      </c>
    </row>
    <row r="66" spans="13:23" ht="15" thickBot="1">
      <c r="M66" s="822" t="s">
        <v>559</v>
      </c>
    </row>
    <row r="67" spans="13:23" ht="103.2" thickBot="1">
      <c r="M67" s="827" t="s">
        <v>0</v>
      </c>
      <c r="N67" s="828" t="s">
        <v>554</v>
      </c>
      <c r="O67" s="833" t="s">
        <v>566</v>
      </c>
      <c r="P67" s="834" t="s">
        <v>560</v>
      </c>
      <c r="Q67" s="834" t="s">
        <v>561</v>
      </c>
      <c r="R67" s="833" t="s">
        <v>288</v>
      </c>
      <c r="S67" s="834" t="s">
        <v>562</v>
      </c>
      <c r="T67" s="834" t="s">
        <v>563</v>
      </c>
      <c r="U67" s="833" t="s">
        <v>120</v>
      </c>
      <c r="V67" s="834" t="s">
        <v>564</v>
      </c>
      <c r="W67" s="834" t="s">
        <v>565</v>
      </c>
    </row>
    <row r="68" spans="13:23" ht="15" thickBot="1">
      <c r="M68" s="1936" t="s">
        <v>290</v>
      </c>
      <c r="N68" s="1937"/>
      <c r="O68" s="1937"/>
      <c r="P68" s="1937"/>
      <c r="Q68" s="1937"/>
      <c r="R68" s="1937"/>
      <c r="S68" s="1937"/>
      <c r="T68" s="1937"/>
      <c r="U68" s="1937"/>
      <c r="V68" s="1937"/>
      <c r="W68" s="1938"/>
    </row>
    <row r="69" spans="13:23" ht="15" thickBot="1">
      <c r="M69" s="829" t="s">
        <v>256</v>
      </c>
      <c r="N69" s="835">
        <v>738</v>
      </c>
      <c r="O69" s="841">
        <f t="shared" ref="O69:W69" si="9">C5</f>
        <v>33878.488066165693</v>
      </c>
      <c r="P69" s="838">
        <f t="shared" si="9"/>
        <v>19498.373282031829</v>
      </c>
      <c r="Q69" s="838">
        <f t="shared" si="9"/>
        <v>48258.602850299561</v>
      </c>
      <c r="R69" s="842">
        <f t="shared" si="9"/>
        <v>21958.30553632832</v>
      </c>
      <c r="S69" s="838">
        <f t="shared" si="9"/>
        <v>14047.286262954638</v>
      </c>
      <c r="T69" s="838">
        <f t="shared" si="9"/>
        <v>29869.324809702004</v>
      </c>
      <c r="U69" s="836">
        <f t="shared" si="9"/>
        <v>0.64814892250926592</v>
      </c>
      <c r="V69" s="837">
        <f t="shared" si="9"/>
        <v>0.26770137921992099</v>
      </c>
      <c r="W69" s="837">
        <f t="shared" si="9"/>
        <v>1.0285964657986109</v>
      </c>
    </row>
    <row r="70" spans="13:23" ht="15" thickBot="1">
      <c r="M70" s="829" t="s">
        <v>18</v>
      </c>
      <c r="N70" s="835">
        <v>835</v>
      </c>
      <c r="O70" s="841">
        <f t="shared" ref="O70:O71" si="10">C6</f>
        <v>30927.565621601083</v>
      </c>
      <c r="P70" s="838" t="e">
        <f t="shared" ref="P70:W70" si="11">D6</f>
        <v>#REF!</v>
      </c>
      <c r="Q70" s="838" t="e">
        <f t="shared" si="11"/>
        <v>#REF!</v>
      </c>
      <c r="R70" s="842">
        <f t="shared" si="11"/>
        <v>21581.064498289787</v>
      </c>
      <c r="S70" s="838" t="e">
        <f t="shared" si="11"/>
        <v>#REF!</v>
      </c>
      <c r="T70" s="838" t="e">
        <f t="shared" si="11"/>
        <v>#REF!</v>
      </c>
      <c r="U70" s="836">
        <f t="shared" si="11"/>
        <v>0.69779383098994008</v>
      </c>
      <c r="V70" s="837" t="e">
        <f t="shared" si="11"/>
        <v>#REF!</v>
      </c>
      <c r="W70" s="837" t="e">
        <f t="shared" si="11"/>
        <v>#REF!</v>
      </c>
    </row>
    <row r="71" spans="13:23" ht="15" thickBot="1">
      <c r="M71" s="829" t="s">
        <v>257</v>
      </c>
      <c r="N71" s="835">
        <v>957</v>
      </c>
      <c r="O71" s="841">
        <f t="shared" si="10"/>
        <v>14852.715552596223</v>
      </c>
      <c r="P71" s="838" t="e">
        <f t="shared" ref="P71:W71" si="12">D7</f>
        <v>#REF!</v>
      </c>
      <c r="Q71" s="838" t="e">
        <f t="shared" si="12"/>
        <v>#REF!</v>
      </c>
      <c r="R71" s="842">
        <f t="shared" si="12"/>
        <v>10299.19611030592</v>
      </c>
      <c r="S71" s="838" t="e">
        <f t="shared" si="12"/>
        <v>#REF!</v>
      </c>
      <c r="T71" s="838" t="e">
        <f t="shared" si="12"/>
        <v>#REF!</v>
      </c>
      <c r="U71" s="836">
        <f t="shared" si="12"/>
        <v>0.6934217567039882</v>
      </c>
      <c r="V71" s="837" t="e">
        <f t="shared" si="12"/>
        <v>#REF!</v>
      </c>
      <c r="W71" s="837" t="e">
        <f t="shared" si="12"/>
        <v>#REF!</v>
      </c>
    </row>
    <row r="72" spans="13:23" ht="15" thickBot="1">
      <c r="M72" s="1936" t="s">
        <v>289</v>
      </c>
      <c r="N72" s="1937"/>
      <c r="O72" s="1937"/>
      <c r="P72" s="1937"/>
      <c r="Q72" s="1937"/>
      <c r="R72" s="1937"/>
      <c r="S72" s="1937"/>
      <c r="T72" s="1937"/>
      <c r="U72" s="1937"/>
      <c r="V72" s="1937"/>
      <c r="W72" s="1938"/>
    </row>
    <row r="73" spans="13:23" ht="15" thickBot="1">
      <c r="M73" s="829" t="s">
        <v>161</v>
      </c>
      <c r="N73" s="840">
        <f>H47</f>
        <v>818.19599785803973</v>
      </c>
      <c r="O73" s="842">
        <f>C9</f>
        <v>770.91180802081556</v>
      </c>
      <c r="P73" s="838">
        <f>D9</f>
        <v>632.02035150354493</v>
      </c>
      <c r="Q73" s="838">
        <v>1017</v>
      </c>
      <c r="R73" s="842">
        <f t="shared" ref="R73:W73" si="13">F9</f>
        <v>576.69338243259187</v>
      </c>
      <c r="S73" s="838">
        <f t="shared" si="13"/>
        <v>452.870119702544</v>
      </c>
      <c r="T73" s="838">
        <f t="shared" si="13"/>
        <v>700.51664516263975</v>
      </c>
      <c r="U73" s="836">
        <f t="shared" si="13"/>
        <v>0.74806660947787751</v>
      </c>
      <c r="V73" s="837">
        <f t="shared" si="13"/>
        <v>0.46382803180048454</v>
      </c>
      <c r="W73" s="837">
        <f t="shared" si="13"/>
        <v>1.0323051871552704</v>
      </c>
    </row>
    <row r="74" spans="13:23">
      <c r="M74" s="839"/>
    </row>
    <row r="79" spans="13:23" ht="15" thickBot="1"/>
    <row r="80" spans="13:23" ht="64.5" customHeight="1" thickBot="1">
      <c r="M80" s="508" t="s">
        <v>0</v>
      </c>
      <c r="N80" s="816" t="s">
        <v>332</v>
      </c>
      <c r="O80" s="816" t="s">
        <v>333</v>
      </c>
      <c r="P80" s="816" t="s">
        <v>337</v>
      </c>
      <c r="Q80" s="816" t="s">
        <v>338</v>
      </c>
      <c r="R80" s="816" t="s">
        <v>339</v>
      </c>
    </row>
    <row r="81" spans="13:18" ht="15" thickBot="1">
      <c r="M81" s="1922" t="s">
        <v>17</v>
      </c>
      <c r="N81" s="510" t="s">
        <v>101</v>
      </c>
      <c r="O81" s="511">
        <v>55742</v>
      </c>
      <c r="P81" s="511">
        <v>41137792</v>
      </c>
      <c r="Q81" s="775">
        <f>O81*O69</f>
        <v>1888454681.7842081</v>
      </c>
      <c r="R81" s="511">
        <f>O81*R69</f>
        <v>1223999867.2060132</v>
      </c>
    </row>
    <row r="82" spans="13:18" ht="15" thickBot="1">
      <c r="M82" s="1923"/>
      <c r="N82" s="510" t="s">
        <v>25</v>
      </c>
      <c r="O82" s="511">
        <v>7147</v>
      </c>
      <c r="P82" s="511">
        <v>4037308</v>
      </c>
      <c r="Q82" s="775">
        <f>O82*O73</f>
        <v>5509706.6919247685</v>
      </c>
      <c r="R82" s="511">
        <f>O82*R73</f>
        <v>4121627.6042457339</v>
      </c>
    </row>
    <row r="83" spans="13:18" ht="16.5" customHeight="1" thickBot="1">
      <c r="M83" s="1570" t="s">
        <v>18</v>
      </c>
      <c r="N83" s="510" t="s">
        <v>101</v>
      </c>
      <c r="O83" s="511">
        <v>183225</v>
      </c>
      <c r="P83" s="511">
        <v>153059770</v>
      </c>
      <c r="Q83" s="775">
        <f>O83*O70</f>
        <v>5666703211.0178585</v>
      </c>
      <c r="R83" s="511">
        <f>O83*R70</f>
        <v>3954190542.6991463</v>
      </c>
    </row>
    <row r="84" spans="13:18" ht="15" thickBot="1">
      <c r="M84" s="1571"/>
      <c r="N84" s="510" t="s">
        <v>25</v>
      </c>
      <c r="O84" s="511">
        <v>15551</v>
      </c>
      <c r="P84" s="511">
        <v>14975072</v>
      </c>
      <c r="Q84" s="775">
        <f>O84*O73</f>
        <v>11988449.526531702</v>
      </c>
      <c r="R84" s="511">
        <f>O84*R73</f>
        <v>8968158.7902092356</v>
      </c>
    </row>
    <row r="85" spans="13:18" ht="15" thickBot="1">
      <c r="M85" s="1570" t="s">
        <v>4</v>
      </c>
      <c r="N85" s="510" t="s">
        <v>101</v>
      </c>
      <c r="O85" s="511">
        <v>40893</v>
      </c>
      <c r="P85" s="511">
        <v>39149035</v>
      </c>
      <c r="Q85" s="775">
        <f>O85*O71</f>
        <v>607372097.09231734</v>
      </c>
      <c r="R85" s="511">
        <f>O85*R71</f>
        <v>421165026.53873998</v>
      </c>
    </row>
    <row r="86" spans="13:18" ht="15" thickBot="1">
      <c r="M86" s="1571"/>
      <c r="N86" s="510" t="s">
        <v>25</v>
      </c>
      <c r="O86" s="511">
        <v>4420</v>
      </c>
      <c r="P86" s="511">
        <v>3181047</v>
      </c>
      <c r="Q86" s="775">
        <f>O86*O73</f>
        <v>3407430.1914520049</v>
      </c>
      <c r="R86" s="511">
        <f>O86*R73</f>
        <v>2548984.7503520562</v>
      </c>
    </row>
    <row r="87" spans="13:18" ht="15.75" customHeight="1"/>
    <row r="92" spans="13:18" ht="17.25" customHeight="1"/>
    <row r="96" spans="13:18" ht="16.5" customHeight="1"/>
    <row r="102" ht="17.25" customHeight="1"/>
    <row r="106" ht="16.5" customHeight="1"/>
  </sheetData>
  <customSheetViews>
    <customSheetView guid="{7E8F70E7-08A0-442B-A100-F92E13F1F337}" topLeftCell="R34">
      <selection activeCell="U34" sqref="U34:W41"/>
      <pageMargins left="0.7" right="0.7" top="0.75" bottom="0.75" header="0.3" footer="0.3"/>
    </customSheetView>
    <customSheetView guid="{52F27401-6741-4136-9223-9843499AE81D}" topLeftCell="R34">
      <selection activeCell="U34" sqref="U34:W41"/>
      <pageMargins left="0.7" right="0.7" top="0.75" bottom="0.75" header="0.3" footer="0.3"/>
    </customSheetView>
  </customSheetViews>
  <mergeCells count="39">
    <mergeCell ref="M56:Q56"/>
    <mergeCell ref="O57:O59"/>
    <mergeCell ref="Q57:Q59"/>
    <mergeCell ref="M68:W68"/>
    <mergeCell ref="M72:W72"/>
    <mergeCell ref="M52:Q52"/>
    <mergeCell ref="B4:K4"/>
    <mergeCell ref="B8:K8"/>
    <mergeCell ref="M18:M19"/>
    <mergeCell ref="M20:M22"/>
    <mergeCell ref="M15:M17"/>
    <mergeCell ref="M25:M27"/>
    <mergeCell ref="T45:T47"/>
    <mergeCell ref="M30:M31"/>
    <mergeCell ref="T35:T37"/>
    <mergeCell ref="O37:P37"/>
    <mergeCell ref="M28:M29"/>
    <mergeCell ref="T44:X44"/>
    <mergeCell ref="T38:T40"/>
    <mergeCell ref="T41:T43"/>
    <mergeCell ref="M41:M42"/>
    <mergeCell ref="M43:M44"/>
    <mergeCell ref="M39:M40"/>
    <mergeCell ref="M81:M82"/>
    <mergeCell ref="M83:M84"/>
    <mergeCell ref="M85:M86"/>
    <mergeCell ref="AF35:AF37"/>
    <mergeCell ref="AF38:AF40"/>
    <mergeCell ref="AF41:AF43"/>
    <mergeCell ref="AF45:AF47"/>
    <mergeCell ref="AF51:AF53"/>
    <mergeCell ref="AF44:AJ44"/>
    <mergeCell ref="Z35:Z37"/>
    <mergeCell ref="Z38:Z40"/>
    <mergeCell ref="Z41:Z43"/>
    <mergeCell ref="Z45:Z47"/>
    <mergeCell ref="Z51:Z53"/>
    <mergeCell ref="Z44:AD44"/>
    <mergeCell ref="T51:T5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CU111"/>
  <sheetViews>
    <sheetView showWhiteSpace="0" topLeftCell="AB20" zoomScale="90" zoomScaleNormal="90" workbookViewId="0">
      <selection activeCell="AU38" sqref="AU38"/>
    </sheetView>
  </sheetViews>
  <sheetFormatPr defaultColWidth="9.109375" defaultRowHeight="14.4" outlineLevelRow="1" outlineLevelCol="1"/>
  <cols>
    <col min="1" max="1" width="9.109375" style="11"/>
    <col min="2" max="2" width="7.6640625" style="11" customWidth="1"/>
    <col min="3" max="4" width="7.109375" style="11" hidden="1" customWidth="1" outlineLevel="1"/>
    <col min="5" max="5" width="15.33203125" style="11" customWidth="1" collapsed="1"/>
    <col min="6" max="6" width="7.44140625" style="11" customWidth="1"/>
    <col min="7" max="7" width="7.88671875" style="11" hidden="1" customWidth="1" outlineLevel="1"/>
    <col min="8" max="8" width="19" style="11" customWidth="1" collapsed="1"/>
    <col min="9" max="9" width="19.88671875" style="11" customWidth="1"/>
    <col min="10" max="10" width="8.109375" style="11" customWidth="1"/>
    <col min="11" max="11" width="8.5546875" style="11" hidden="1" customWidth="1" outlineLevel="1"/>
    <col min="12" max="12" width="12.33203125" style="11" customWidth="1" collapsed="1"/>
    <col min="13" max="13" width="12.5546875" style="11" customWidth="1"/>
    <col min="14" max="14" width="9.109375" style="11" customWidth="1"/>
    <col min="15" max="15" width="7.33203125" style="11" hidden="1" customWidth="1" outlineLevel="1"/>
    <col min="16" max="16" width="41.44140625" style="11" customWidth="1" collapsed="1"/>
    <col min="17" max="17" width="11.33203125" style="11" customWidth="1"/>
    <col min="18" max="18" width="8.44140625" style="11" hidden="1" customWidth="1" outlineLevel="1"/>
    <col min="19" max="19" width="16.44140625" style="11" customWidth="1" collapsed="1"/>
    <col min="20" max="21" width="16.44140625" style="643" customWidth="1"/>
    <col min="22" max="24" width="16.44140625" style="11" customWidth="1"/>
    <col min="25" max="25" width="18.33203125" style="11" customWidth="1"/>
    <col min="26" max="26" width="24.33203125" style="11" customWidth="1"/>
    <col min="27" max="27" width="38" style="643" customWidth="1"/>
    <col min="28" max="28" width="11" style="11" customWidth="1"/>
    <col min="29" max="29" width="11.88671875" style="11" hidden="1" customWidth="1" outlineLevel="1"/>
    <col min="30" max="30" width="6.6640625" style="11" customWidth="1" collapsed="1"/>
    <col min="31" max="31" width="16.88671875" style="11" hidden="1" customWidth="1" outlineLevel="1"/>
    <col min="32" max="32" width="9.109375" style="11" customWidth="1" collapsed="1"/>
    <col min="33" max="33" width="14.109375" style="11" hidden="1" customWidth="1" outlineLevel="1"/>
    <col min="34" max="34" width="8" style="11" customWidth="1" collapsed="1"/>
    <col min="35" max="35" width="10.109375" style="11" hidden="1" customWidth="1" outlineLevel="1"/>
    <col min="36" max="36" width="10.109375" style="11" customWidth="1" collapsed="1"/>
    <col min="37" max="37" width="7.6640625" style="11" hidden="1" customWidth="1" outlineLevel="1"/>
    <col min="38" max="38" width="10.44140625" style="11" customWidth="1" collapsed="1"/>
    <col min="39" max="39" width="7.6640625" style="11" hidden="1" customWidth="1" outlineLevel="1"/>
    <col min="40" max="40" width="10.109375" style="11" customWidth="1" collapsed="1"/>
    <col min="41" max="41" width="12.5546875" style="11" hidden="1" customWidth="1" outlineLevel="1"/>
    <col min="42" max="42" width="8.88671875" style="11" customWidth="1" collapsed="1"/>
    <col min="43" max="43" width="8.88671875" style="11" hidden="1" customWidth="1" outlineLevel="1"/>
    <col min="44" max="44" width="8.88671875" style="11" customWidth="1" collapsed="1"/>
    <col min="45" max="45" width="8.88671875" style="11" customWidth="1"/>
    <col min="46" max="46" width="8.88671875" style="11" hidden="1" customWidth="1" outlineLevel="1"/>
    <col min="47" max="47" width="8.88671875" style="11" customWidth="1" collapsed="1"/>
    <col min="48" max="48" width="8.88671875" style="11" hidden="1" customWidth="1" outlineLevel="1"/>
    <col min="49" max="49" width="8.88671875" style="11" customWidth="1" collapsed="1"/>
    <col min="50" max="50" width="8.88671875" style="11" hidden="1" customWidth="1" outlineLevel="1"/>
    <col min="51" max="51" width="13.33203125" style="11" bestFit="1" customWidth="1" collapsed="1"/>
    <col min="52" max="52" width="32.109375" style="11" hidden="1" customWidth="1" outlineLevel="1"/>
    <col min="53" max="53" width="4.6640625" style="11" bestFit="1" customWidth="1" collapsed="1"/>
    <col min="54" max="54" width="9.109375" style="11"/>
    <col min="55" max="55" width="5.6640625" style="11" bestFit="1" customWidth="1"/>
    <col min="56" max="56" width="13.88671875" style="11" bestFit="1" customWidth="1"/>
    <col min="57" max="57" width="3.44140625" style="11" bestFit="1" customWidth="1"/>
    <col min="58" max="58" width="9.5546875" style="11" bestFit="1" customWidth="1"/>
    <col min="59" max="59" width="10" style="11" bestFit="1" customWidth="1"/>
    <col min="60" max="60" width="10.6640625" style="11" bestFit="1" customWidth="1"/>
    <col min="61" max="61" width="12.6640625" style="331" bestFit="1" customWidth="1"/>
    <col min="62" max="62" width="5.6640625" style="11" bestFit="1" customWidth="1"/>
    <col min="63" max="63" width="7" style="11" bestFit="1" customWidth="1"/>
    <col min="64" max="64" width="7.33203125" style="11" bestFit="1" customWidth="1"/>
    <col min="65" max="65" width="12.44140625" style="11" bestFit="1" customWidth="1"/>
    <col min="66" max="66" width="13.33203125" style="11" bestFit="1" customWidth="1"/>
    <col min="67" max="67" width="5.44140625" style="11" bestFit="1" customWidth="1"/>
    <col min="68" max="68" width="6.6640625" style="11" bestFit="1" customWidth="1"/>
    <col min="69" max="69" width="8.6640625" style="11" bestFit="1" customWidth="1"/>
    <col min="70" max="70" width="9.109375" style="11" hidden="1" customWidth="1"/>
    <col min="71" max="84" width="9.109375" style="11"/>
    <col min="87" max="91" width="9.109375" style="11"/>
    <col min="92" max="92" width="23.109375" style="11" customWidth="1"/>
    <col min="93" max="16384" width="9.109375" style="11"/>
  </cols>
  <sheetData>
    <row r="1" spans="1:99" ht="15" thickBot="1">
      <c r="CN1" s="643" t="s">
        <v>512</v>
      </c>
    </row>
    <row r="2" spans="1:99" ht="96.75" customHeight="1">
      <c r="CN2" s="770" t="s">
        <v>528</v>
      </c>
      <c r="CO2" s="771" t="s">
        <v>513</v>
      </c>
      <c r="CP2" s="771" t="s">
        <v>514</v>
      </c>
      <c r="CQ2" s="769" t="s">
        <v>529</v>
      </c>
      <c r="CR2" s="771" t="s">
        <v>515</v>
      </c>
      <c r="CS2" s="769" t="s">
        <v>530</v>
      </c>
      <c r="CT2" s="771" t="s">
        <v>516</v>
      </c>
      <c r="CU2" s="769" t="s">
        <v>531</v>
      </c>
    </row>
    <row r="3" spans="1:99">
      <c r="Z3" s="486" t="s">
        <v>299</v>
      </c>
      <c r="AA3" s="486"/>
      <c r="AB3" s="486" t="s">
        <v>294</v>
      </c>
      <c r="AC3" s="488" t="s">
        <v>293</v>
      </c>
      <c r="CN3"/>
      <c r="CO3"/>
      <c r="CP3"/>
      <c r="CQ3"/>
      <c r="CR3"/>
      <c r="CS3"/>
      <c r="CT3"/>
      <c r="CU3"/>
    </row>
    <row r="4" spans="1:99">
      <c r="Z4" s="485" t="s">
        <v>198</v>
      </c>
      <c r="AA4" s="485"/>
      <c r="AB4" s="487">
        <f>'Gross UECs'!D$3</f>
        <v>1035.9927015759845</v>
      </c>
      <c r="AC4" s="489">
        <f>'Gross UECs'!I$3</f>
        <v>68.711769825167252</v>
      </c>
    </row>
    <row r="5" spans="1:99" ht="15" customHeight="1">
      <c r="Z5" s="485" t="s">
        <v>211</v>
      </c>
      <c r="AA5" s="485"/>
      <c r="AB5" s="487">
        <f>'Gross UECs'!D$14</f>
        <v>791</v>
      </c>
      <c r="AC5" s="489">
        <f>'Gross UECs'!I$14</f>
        <v>98</v>
      </c>
    </row>
    <row r="6" spans="1:99">
      <c r="Z6" s="485" t="s">
        <v>212</v>
      </c>
      <c r="AA6" s="485"/>
      <c r="AB6" s="487">
        <f>'Gross UECs'!D$25</f>
        <v>783</v>
      </c>
      <c r="AC6" s="489">
        <f>'Gross UECs'!I$25</f>
        <v>106</v>
      </c>
    </row>
    <row r="7" spans="1:99" ht="15" customHeight="1" thickBot="1">
      <c r="B7" s="11" t="s">
        <v>63</v>
      </c>
      <c r="H7" s="334"/>
      <c r="Z7" s="485" t="s">
        <v>295</v>
      </c>
      <c r="AA7" s="485"/>
      <c r="AB7" s="655">
        <f>452</f>
        <v>452</v>
      </c>
      <c r="AC7" s="489">
        <v>0</v>
      </c>
      <c r="AD7" s="11" t="s">
        <v>411</v>
      </c>
    </row>
    <row r="8" spans="1:99" ht="15" thickBot="1">
      <c r="B8" s="43"/>
      <c r="C8" s="11" t="s">
        <v>66</v>
      </c>
      <c r="H8" s="333"/>
      <c r="J8" s="333"/>
      <c r="K8" s="334"/>
      <c r="L8" s="333"/>
      <c r="M8" s="334"/>
      <c r="N8" s="333"/>
      <c r="O8" s="333"/>
      <c r="P8" s="333"/>
      <c r="Z8" s="138"/>
      <c r="AA8" s="138"/>
      <c r="AB8" s="526"/>
    </row>
    <row r="9" spans="1:99" ht="18" customHeight="1" thickBot="1">
      <c r="B9" s="44"/>
      <c r="C9" s="11" t="s">
        <v>69</v>
      </c>
      <c r="H9" s="11">
        <f>((0.78*(1-0.78))/200)^0.5</f>
        <v>2.9291637031753616E-2</v>
      </c>
      <c r="Q9" s="138"/>
      <c r="AB9" s="11">
        <f>SQRT(IF($B$14&gt;0,($C$14/100)^2,0)+IF($F14&gt;0,($G14/100)^2,0))</f>
        <v>7.7720197638709076E-2</v>
      </c>
      <c r="AD9" s="11">
        <f>100*((AB14*(1-AB14))/234)^0.5</f>
        <v>2.0490158283736708</v>
      </c>
      <c r="BH9" s="11" t="s">
        <v>532</v>
      </c>
      <c r="BW9" s="11" t="s">
        <v>543</v>
      </c>
    </row>
    <row r="10" spans="1:99" ht="12" customHeight="1" thickBot="1">
      <c r="B10" s="45"/>
      <c r="C10" s="11" t="s">
        <v>70</v>
      </c>
      <c r="Q10" s="138"/>
      <c r="AD10" s="11">
        <f>100*((AB15*(1-AB15))/234)^0.5</f>
        <v>1.1336599181970042</v>
      </c>
      <c r="BD10" s="11" t="s">
        <v>517</v>
      </c>
      <c r="BU10" s="643" t="s">
        <v>518</v>
      </c>
    </row>
    <row r="11" spans="1:99" ht="23.25" customHeight="1" thickBot="1">
      <c r="B11" s="46"/>
      <c r="C11" s="47" t="s">
        <v>71</v>
      </c>
      <c r="D11" s="47"/>
      <c r="BD11" s="643"/>
      <c r="BE11" s="643"/>
      <c r="BF11" s="643"/>
      <c r="BG11" s="643"/>
      <c r="BH11" s="643"/>
      <c r="BJ11" s="643"/>
      <c r="BK11" s="643"/>
      <c r="BL11" s="643"/>
    </row>
    <row r="12" spans="1:99" s="331" customFormat="1" ht="154.5" customHeight="1" thickBot="1">
      <c r="A12" s="224" t="s">
        <v>220</v>
      </c>
      <c r="B12" s="330" t="s">
        <v>221</v>
      </c>
      <c r="C12" s="223" t="str">
        <f>"SE of "&amp;B12</f>
        <v>SE of Proportions</v>
      </c>
      <c r="D12" s="264" t="s">
        <v>277</v>
      </c>
      <c r="E12" s="224" t="s">
        <v>222</v>
      </c>
      <c r="F12" s="330" t="s">
        <v>221</v>
      </c>
      <c r="G12" s="223" t="str">
        <f>"SE of "&amp;F12</f>
        <v>SE of Proportions</v>
      </c>
      <c r="H12" s="331" t="s">
        <v>63</v>
      </c>
      <c r="I12" s="332"/>
      <c r="J12" s="330" t="s">
        <v>221</v>
      </c>
      <c r="K12" s="223" t="str">
        <f>"CL of "&amp;J12</f>
        <v>CL of Proportions</v>
      </c>
      <c r="L12" s="332" t="s">
        <v>63</v>
      </c>
      <c r="M12" s="224" t="s">
        <v>227</v>
      </c>
      <c r="N12" s="330" t="s">
        <v>221</v>
      </c>
      <c r="O12" s="223" t="str">
        <f>"SE of "&amp;N12</f>
        <v>SE of Proportions</v>
      </c>
      <c r="P12" s="263" t="s">
        <v>52</v>
      </c>
      <c r="Q12" s="224" t="s">
        <v>226</v>
      </c>
      <c r="R12" s="223" t="str">
        <f>"SE of "&amp;Q12</f>
        <v>SE of P2P Coincidence Factor</v>
      </c>
      <c r="S12" s="331" t="s">
        <v>63</v>
      </c>
      <c r="T12" s="1756" t="s">
        <v>507</v>
      </c>
      <c r="U12" s="1756"/>
      <c r="V12" s="1756" t="s">
        <v>331</v>
      </c>
      <c r="W12" s="1756"/>
      <c r="X12" s="1756"/>
      <c r="Y12" s="1756"/>
      <c r="Z12" s="1756"/>
      <c r="AA12" s="1757"/>
      <c r="AB12" s="401" t="s">
        <v>113</v>
      </c>
      <c r="AC12" s="223" t="str">
        <f>"SE of "&amp;AB12</f>
        <v>SE of Proportion of program units in this path</v>
      </c>
      <c r="AD12" s="114" t="s">
        <v>115</v>
      </c>
      <c r="AE12" s="294" t="str">
        <f>"SE of "&amp;AD12</f>
        <v>SE of Gross Full Year Consumption</v>
      </c>
      <c r="AF12" s="114" t="s">
        <v>102</v>
      </c>
      <c r="AG12" s="294" t="str">
        <f>"SE of "&amp;AF12</f>
        <v>SE of  Baseline Usage factor</v>
      </c>
      <c r="AH12" s="114" t="s">
        <v>125</v>
      </c>
      <c r="AI12" s="294" t="str">
        <f>"SE of "&amp;AH12</f>
        <v>SE of Gross Baseline UEC (Part use adjusted)</v>
      </c>
      <c r="AJ12" s="114" t="s">
        <v>99</v>
      </c>
      <c r="AK12" s="294" t="str">
        <f>"SE of "&amp;AJ12</f>
        <v>SE of Program Alternative Full Year Consumption</v>
      </c>
      <c r="AL12" s="114" t="s">
        <v>129</v>
      </c>
      <c r="AM12" s="294" t="str">
        <f>"SE of "&amp;AL12</f>
        <v>SE of Usage Factor on the grid with the Program</v>
      </c>
      <c r="AN12" s="114" t="s">
        <v>126</v>
      </c>
      <c r="AO12" s="294" t="str">
        <f>"SE of "&amp;AN12</f>
        <v>SE of Gross UEC with Program (part use adjusted)</v>
      </c>
      <c r="AP12" s="401" t="s">
        <v>112</v>
      </c>
      <c r="AQ12" s="294" t="str">
        <f>"SE of "&amp;AP12</f>
        <v>SE of Gross Unit Energy Savings</v>
      </c>
      <c r="AR12" s="114" t="s">
        <v>124</v>
      </c>
      <c r="AS12" s="401" t="s">
        <v>128</v>
      </c>
      <c r="AT12" s="294" t="str">
        <f>"SE of "&amp;AS12</f>
        <v>SE of Net Savings</v>
      </c>
      <c r="AU12" s="401" t="s">
        <v>351</v>
      </c>
      <c r="AV12" s="294" t="str">
        <f>"SE of "&amp;AU12</f>
        <v>SE of Proportional Gross Unit Savings</v>
      </c>
      <c r="AW12" s="401" t="s">
        <v>352</v>
      </c>
      <c r="AX12" s="294" t="str">
        <f>"SE of "&amp;AW12</f>
        <v>SE of Proportional Net Unit Savings</v>
      </c>
      <c r="AY12" s="114" t="s">
        <v>120</v>
      </c>
      <c r="AZ12" s="223" t="str">
        <f>"SE of "&amp;AY12</f>
        <v>SE of NTG Ratio</v>
      </c>
      <c r="BD12" s="1804" t="s">
        <v>519</v>
      </c>
      <c r="BE12" s="1804"/>
      <c r="BF12" s="1804"/>
      <c r="BG12" s="1804"/>
      <c r="BH12" s="1804"/>
      <c r="BI12" s="1805"/>
      <c r="BJ12" s="770" t="s">
        <v>528</v>
      </c>
      <c r="BK12" s="771" t="s">
        <v>513</v>
      </c>
      <c r="BL12" s="771" t="s">
        <v>514</v>
      </c>
      <c r="BM12" s="769" t="s">
        <v>529</v>
      </c>
      <c r="BN12" s="771" t="s">
        <v>515</v>
      </c>
      <c r="BO12" s="769" t="s">
        <v>530</v>
      </c>
      <c r="BP12" s="771" t="s">
        <v>516</v>
      </c>
      <c r="BQ12" s="769" t="s">
        <v>531</v>
      </c>
      <c r="BU12" s="1804" t="s">
        <v>519</v>
      </c>
      <c r="BV12" s="1804"/>
      <c r="BW12" s="1804"/>
      <c r="BX12" s="1804"/>
      <c r="BY12" s="1804"/>
      <c r="BZ12" s="1805"/>
      <c r="CA12" s="779" t="s">
        <v>113</v>
      </c>
      <c r="CB12" s="780" t="s">
        <v>112</v>
      </c>
      <c r="CC12" s="780" t="s">
        <v>124</v>
      </c>
      <c r="CD12" s="780" t="s">
        <v>128</v>
      </c>
      <c r="CE12" s="780" t="s">
        <v>536</v>
      </c>
      <c r="CF12" s="780" t="s">
        <v>537</v>
      </c>
      <c r="CG12"/>
      <c r="CH12"/>
      <c r="CI12" s="532" t="s">
        <v>550</v>
      </c>
      <c r="CJ12" s="643"/>
      <c r="CK12" s="643"/>
      <c r="CL12" s="643"/>
      <c r="CM12" s="643"/>
      <c r="CN12" s="643"/>
      <c r="CO12" s="643"/>
    </row>
    <row r="13" spans="1:99" s="331" customFormat="1" ht="3.75" customHeight="1" thickBot="1">
      <c r="A13" s="334"/>
      <c r="B13" s="334"/>
      <c r="C13" s="134"/>
      <c r="D13" s="134"/>
      <c r="E13" s="334"/>
      <c r="F13" s="334"/>
      <c r="G13" s="134"/>
      <c r="H13" s="334"/>
      <c r="I13" s="134"/>
      <c r="J13" s="334"/>
      <c r="K13" s="334"/>
      <c r="L13" s="134"/>
      <c r="M13" s="134"/>
      <c r="N13" s="334"/>
      <c r="O13" s="134"/>
      <c r="P13" s="334"/>
      <c r="Q13" s="334"/>
      <c r="R13" s="135" t="s">
        <v>123</v>
      </c>
      <c r="S13" s="136" t="s">
        <v>151</v>
      </c>
      <c r="T13" s="136"/>
      <c r="U13" s="136"/>
      <c r="V13" s="643"/>
      <c r="W13" s="643"/>
      <c r="X13" s="643"/>
      <c r="Y13" s="643"/>
      <c r="Z13" s="643"/>
      <c r="AA13" s="643"/>
      <c r="AB13" s="136" t="s">
        <v>213</v>
      </c>
      <c r="AC13" s="136" t="s">
        <v>215</v>
      </c>
      <c r="AD13" s="136" t="s">
        <v>119</v>
      </c>
      <c r="AE13" s="192" t="s">
        <v>218</v>
      </c>
      <c r="AF13" s="137" t="s">
        <v>117</v>
      </c>
      <c r="AG13" s="136" t="s">
        <v>216</v>
      </c>
      <c r="AH13" s="137" t="s">
        <v>214</v>
      </c>
      <c r="AI13" s="136" t="s">
        <v>217</v>
      </c>
      <c r="AJ13" s="137" t="s">
        <v>150</v>
      </c>
      <c r="AK13" s="192" t="s">
        <v>218</v>
      </c>
      <c r="AL13" s="139" t="s">
        <v>127</v>
      </c>
      <c r="AM13" s="139"/>
      <c r="AN13" s="139" t="s">
        <v>121</v>
      </c>
      <c r="AO13" s="139" t="s">
        <v>148</v>
      </c>
      <c r="AP13" s="139"/>
      <c r="AQ13" s="137" t="s">
        <v>149</v>
      </c>
      <c r="AR13" s="137"/>
      <c r="AS13" s="335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1560"/>
      <c r="BE13" s="1560"/>
      <c r="BF13" s="1560"/>
      <c r="BG13" s="1560"/>
      <c r="BH13" s="1560"/>
      <c r="BI13" s="1637"/>
      <c r="BJ13" s="777" t="s">
        <v>520</v>
      </c>
      <c r="BK13" s="778" t="s">
        <v>521</v>
      </c>
      <c r="BL13" s="778" t="s">
        <v>522</v>
      </c>
      <c r="BM13" s="778" t="s">
        <v>523</v>
      </c>
      <c r="BN13" s="778" t="s">
        <v>524</v>
      </c>
      <c r="BO13" s="778" t="s">
        <v>525</v>
      </c>
      <c r="BP13" s="778" t="s">
        <v>526</v>
      </c>
      <c r="BQ13" s="778" t="s">
        <v>527</v>
      </c>
      <c r="BU13" s="1560"/>
      <c r="BV13" s="1560"/>
      <c r="BW13" s="1560"/>
      <c r="BX13" s="1560"/>
      <c r="BY13" s="1560"/>
      <c r="BZ13" s="1637"/>
      <c r="CA13" s="772" t="s">
        <v>520</v>
      </c>
      <c r="CB13" s="773" t="s">
        <v>521</v>
      </c>
      <c r="CC13" s="773" t="s">
        <v>522</v>
      </c>
      <c r="CD13" s="773" t="s">
        <v>540</v>
      </c>
      <c r="CE13" s="773" t="s">
        <v>538</v>
      </c>
      <c r="CF13" s="773" t="s">
        <v>539</v>
      </c>
      <c r="CG13"/>
      <c r="CH13"/>
      <c r="CI13" s="1560" t="s">
        <v>519</v>
      </c>
      <c r="CJ13" s="1560"/>
      <c r="CK13" s="1560"/>
      <c r="CL13" s="1560"/>
      <c r="CM13" s="1560"/>
      <c r="CN13" s="1637"/>
      <c r="CO13" s="823" t="s">
        <v>256</v>
      </c>
      <c r="CP13" s="824" t="s">
        <v>293</v>
      </c>
      <c r="CQ13" s="824" t="s">
        <v>18</v>
      </c>
      <c r="CR13" s="824" t="s">
        <v>293</v>
      </c>
      <c r="CS13" s="824" t="s">
        <v>257</v>
      </c>
      <c r="CT13" s="824" t="s">
        <v>293</v>
      </c>
    </row>
    <row r="14" spans="1:99" s="334" customFormat="1" ht="15.75" customHeight="1" outlineLevel="1" thickBot="1">
      <c r="A14" s="50" t="s">
        <v>31</v>
      </c>
      <c r="B14" s="71">
        <f>'Part Keep-Discard'!E13/100</f>
        <v>0.14147799999999999</v>
      </c>
      <c r="C14" s="216">
        <f>'Part Keep-Discard'!F12</f>
        <v>2.2999999999999998</v>
      </c>
      <c r="D14" s="447"/>
      <c r="E14" s="407" t="s">
        <v>48</v>
      </c>
      <c r="F14" s="72">
        <f>'Part KIU-KU'!E13/100</f>
        <v>0.78062600000000004</v>
      </c>
      <c r="G14" s="225">
        <f>'Part KIU-KU'!F12</f>
        <v>7.4238999999999997</v>
      </c>
      <c r="H14" s="73" t="s">
        <v>66</v>
      </c>
      <c r="I14" s="73"/>
      <c r="J14" s="73"/>
      <c r="K14" s="73"/>
      <c r="L14" s="73"/>
      <c r="M14" s="407"/>
      <c r="N14" s="73"/>
      <c r="O14" s="73"/>
      <c r="P14" s="73"/>
      <c r="Q14" s="73"/>
      <c r="R14" s="73"/>
      <c r="S14" s="226"/>
      <c r="T14" s="657"/>
      <c r="U14" s="657"/>
      <c r="V14" s="1753" t="s">
        <v>267</v>
      </c>
      <c r="W14" s="1753"/>
      <c r="X14" s="1753"/>
      <c r="Y14" s="1753"/>
      <c r="Z14" s="1753"/>
      <c r="AA14" s="1753"/>
      <c r="AB14" s="743">
        <f>B14*F14</f>
        <v>0.110441405228</v>
      </c>
      <c r="AC14" s="750">
        <f>100*AB14*SQRT(IF($B$14&gt;0,($C$14/$B$14/100)^2,0)+IF($F14&gt;0,($G14/$F14/100)^2,0))</f>
        <v>2.0800896802065303</v>
      </c>
      <c r="AD14" s="703">
        <f t="shared" ref="AD14:AD35" si="0">$AB$4</f>
        <v>1035.9927015759845</v>
      </c>
      <c r="AE14" s="704">
        <f t="shared" ref="AE14:AE35" si="1">$AC$4</f>
        <v>68.711769825167252</v>
      </c>
      <c r="AF14" s="701">
        <f>'Part KIU-KU'!H$25</f>
        <v>0.90680879999999997</v>
      </c>
      <c r="AG14" s="702">
        <f>'Part KIU-KU'!$J$25</f>
        <v>3.5229200000000002E-2</v>
      </c>
      <c r="AH14" s="703">
        <f t="shared" ref="AH14:AH25" si="2">AD14*AF14</f>
        <v>939.4472985248766</v>
      </c>
      <c r="AI14" s="704">
        <f>AH14*SQRT(IF(AD14&gt;0,(AE14/AD14)^2,0)+IF(AF14&gt;0,(AG14/AF14/100)^2,0))</f>
        <v>62.309506444223977</v>
      </c>
      <c r="AJ14" s="703">
        <f>$AB$4</f>
        <v>1035.9927015759845</v>
      </c>
      <c r="AK14" s="704">
        <f>$AC$4</f>
        <v>68.711769825167252</v>
      </c>
      <c r="AL14" s="701">
        <v>0</v>
      </c>
      <c r="AM14" s="702">
        <v>0</v>
      </c>
      <c r="AN14" s="703">
        <f>AJ14*AL14</f>
        <v>0</v>
      </c>
      <c r="AO14" s="704">
        <f>AN14*SQRT(IF(AJ14&gt;0,(AK14/AJ14)^2,0)+IF(AL14&gt;0,(AM14/AL14/100)^2,0))</f>
        <v>0</v>
      </c>
      <c r="AP14" s="711">
        <f>AH14-AN14</f>
        <v>939.4472985248766</v>
      </c>
      <c r="AQ14" s="751">
        <f t="shared" ref="AQ14:AQ36" si="3">SQRT(AO14^2+AI14^2)</f>
        <v>62.309506444223977</v>
      </c>
      <c r="AR14" s="711">
        <v>1</v>
      </c>
      <c r="AS14" s="711">
        <f t="shared" ref="AS14:AS36" si="4">AP14*AR14</f>
        <v>939.4472985248766</v>
      </c>
      <c r="AT14" s="751">
        <f>AQ14</f>
        <v>62.309506444223977</v>
      </c>
      <c r="AU14" s="845">
        <f t="shared" ref="AU14:AU36" si="5">AP14*AB14</f>
        <v>103.75387978673578</v>
      </c>
      <c r="AV14" s="751">
        <f t="shared" ref="AV14:AV36" si="6">AU14*SQRT(IF(AB14&gt;0,(AC14/AB14/100)^2,0)+IF(AP14&gt;0,(AQ14/AP14),0))</f>
        <v>33.103650402551089</v>
      </c>
      <c r="AW14" s="845">
        <f t="shared" ref="AW14:AW36" si="7">AS14*AB14</f>
        <v>103.75387978673578</v>
      </c>
      <c r="AX14" s="751">
        <f t="shared" ref="AX14:AX36" si="8">AW14*SQRT(IF(AS14&gt;0,(AT14/AS14)^2,0)+IF(AB14&gt;0,(AC14/AB14/100)^2,0))</f>
        <v>20.71762385884675</v>
      </c>
      <c r="AY14" s="708">
        <f>IF(AU14&gt;0,AW14/AU14,0)</f>
        <v>1</v>
      </c>
      <c r="AZ14" s="752">
        <f>AY14*SQRT(IF(AU14&gt;0,(AV14/AU14)^2,0)+IF(AW14&gt;0,(AX14/AW14)^2,0))</f>
        <v>0.37639233636148467</v>
      </c>
      <c r="BA14" s="11"/>
      <c r="BB14" s="566"/>
      <c r="BC14" s="566"/>
      <c r="BD14" s="1575" t="s">
        <v>267</v>
      </c>
      <c r="BE14" s="1575"/>
      <c r="BF14" s="1575"/>
      <c r="BG14" s="1575"/>
      <c r="BH14" s="1575"/>
      <c r="BI14" s="1575"/>
      <c r="BJ14" s="765">
        <f t="shared" ref="BJ14:BJ36" si="9">AB14</f>
        <v>0.110441405228</v>
      </c>
      <c r="BK14" s="766">
        <f t="shared" ref="BK14:BK36" si="10">AD14</f>
        <v>1035.9927015759845</v>
      </c>
      <c r="BL14" s="767">
        <f t="shared" ref="BL14:BL36" si="11">AF14</f>
        <v>0.90680879999999997</v>
      </c>
      <c r="BM14" s="766">
        <f t="shared" ref="BM14:BM36" si="12">AH14</f>
        <v>939.4472985248766</v>
      </c>
      <c r="BN14" s="766">
        <f t="shared" ref="BN14:BN36" si="13">AJ14</f>
        <v>1035.9927015759845</v>
      </c>
      <c r="BO14" s="766">
        <f t="shared" ref="BO14:BO36" si="14">AL14</f>
        <v>0</v>
      </c>
      <c r="BP14" s="766">
        <f t="shared" ref="BP14:BP36" si="15">AN14</f>
        <v>0</v>
      </c>
      <c r="BQ14" s="766">
        <f t="shared" ref="BQ14:BQ36" si="16">AP14</f>
        <v>939.4472985248766</v>
      </c>
      <c r="BR14" s="11"/>
      <c r="BS14" s="11"/>
      <c r="BT14" s="11"/>
      <c r="BU14" s="1575" t="s">
        <v>267</v>
      </c>
      <c r="BV14" s="1575"/>
      <c r="BW14" s="1575"/>
      <c r="BX14" s="1575"/>
      <c r="BY14" s="1575"/>
      <c r="BZ14" s="1575"/>
      <c r="CA14" s="765">
        <f>AB14</f>
        <v>0.110441405228</v>
      </c>
      <c r="CB14" s="781">
        <f>AP14</f>
        <v>939.4472985248766</v>
      </c>
      <c r="CC14" s="782">
        <f>AR14</f>
        <v>1</v>
      </c>
      <c r="CD14" s="783">
        <f>AS14</f>
        <v>939.4472985248766</v>
      </c>
      <c r="CE14" s="782">
        <f>AU14</f>
        <v>103.75387978673578</v>
      </c>
      <c r="CF14" s="782">
        <f>AW14</f>
        <v>103.75387978673578</v>
      </c>
      <c r="CG14"/>
      <c r="CH14"/>
      <c r="CI14" s="1575" t="s">
        <v>267</v>
      </c>
      <c r="CJ14" s="1575"/>
      <c r="CK14" s="1575"/>
      <c r="CL14" s="1575"/>
      <c r="CM14" s="1575"/>
      <c r="CN14" s="1575"/>
      <c r="CO14" s="765">
        <f>AB14</f>
        <v>0.110441405228</v>
      </c>
      <c r="CP14" s="825">
        <f>AC14</f>
        <v>2.0800896802065303</v>
      </c>
      <c r="CQ14" s="765">
        <f>'SCE REF NTG'!AB14</f>
        <v>0.15480819431999998</v>
      </c>
      <c r="CR14" s="825">
        <f>'SCE REF NTG'!AC14</f>
        <v>1.4574562928733019</v>
      </c>
      <c r="CS14" s="765">
        <f>'SDGE REF NTG'!AB14</f>
        <v>9.3360886415999988E-2</v>
      </c>
      <c r="CT14" s="825">
        <f>'SDGE REF NTG'!AC14</f>
        <v>2.1482573126252711</v>
      </c>
    </row>
    <row r="15" spans="1:99" ht="15" thickBot="1">
      <c r="A15" s="60"/>
      <c r="B15" s="81"/>
      <c r="C15" s="217"/>
      <c r="D15" s="448"/>
      <c r="E15" s="407" t="s">
        <v>49</v>
      </c>
      <c r="F15" s="72">
        <f>'Part KIU-KU'!E12/100</f>
        <v>0.21937400000000001</v>
      </c>
      <c r="G15" s="225">
        <f>'Part KIU-KU'!F13</f>
        <v>7.4238999999999997</v>
      </c>
      <c r="H15" s="73" t="s">
        <v>66</v>
      </c>
      <c r="I15" s="73"/>
      <c r="J15" s="73"/>
      <c r="K15" s="73"/>
      <c r="L15" s="73"/>
      <c r="M15" s="407"/>
      <c r="N15" s="73"/>
      <c r="O15" s="73"/>
      <c r="P15" s="73"/>
      <c r="Q15" s="73"/>
      <c r="R15" s="73"/>
      <c r="S15" s="226"/>
      <c r="T15" s="657"/>
      <c r="U15" s="657"/>
      <c r="V15" s="1753" t="s">
        <v>268</v>
      </c>
      <c r="W15" s="1753"/>
      <c r="X15" s="1753"/>
      <c r="Y15" s="1753"/>
      <c r="Z15" s="1753"/>
      <c r="AA15" s="1753"/>
      <c r="AB15" s="743">
        <f>B14*F15</f>
        <v>3.1036594771999999E-2</v>
      </c>
      <c r="AC15" s="750">
        <f>100*AB15*SQRT(IF($B$14&gt;0,($C$14/$B$14/100)^2,0)+IF(F15&gt;0,(G15/F15/100)^2,0))</f>
        <v>1.165225299116744</v>
      </c>
      <c r="AD15" s="703">
        <f t="shared" si="0"/>
        <v>1035.9927015759845</v>
      </c>
      <c r="AE15" s="704">
        <f t="shared" si="1"/>
        <v>68.711769825167252</v>
      </c>
      <c r="AF15" s="701">
        <v>0</v>
      </c>
      <c r="AG15" s="702">
        <v>0</v>
      </c>
      <c r="AH15" s="703">
        <f t="shared" si="2"/>
        <v>0</v>
      </c>
      <c r="AI15" s="704">
        <f t="shared" ref="AI15:AI35" si="17">AH15*SQRT(IF(AD15&gt;0,(AE15/AD15)^2,0)+IF(AF15&gt;0,(AG15/AF15/100)^2,0))</f>
        <v>0</v>
      </c>
      <c r="AJ15" s="703">
        <f>$AB$4</f>
        <v>1035.9927015759845</v>
      </c>
      <c r="AK15" s="704">
        <f>$AC$4</f>
        <v>68.711769825167252</v>
      </c>
      <c r="AL15" s="897">
        <v>0</v>
      </c>
      <c r="AM15" s="706">
        <v>0</v>
      </c>
      <c r="AN15" s="705">
        <f t="shared" ref="AN15:AN35" si="18">AL15*AJ15</f>
        <v>0</v>
      </c>
      <c r="AO15" s="704">
        <f t="shared" ref="AO15:AO35" si="19">AN15*SQRT(IF(AJ15&gt;0,(AK15/AJ15)^2,0)+IF(AL15&gt;0,(AM15/AL15/100)^2,0))</f>
        <v>0</v>
      </c>
      <c r="AP15" s="707">
        <f t="shared" ref="AP15:AP36" si="20">AH15-AN15</f>
        <v>0</v>
      </c>
      <c r="AQ15" s="751">
        <f t="shared" si="3"/>
        <v>0</v>
      </c>
      <c r="AR15" s="711">
        <v>1</v>
      </c>
      <c r="AS15" s="707">
        <f t="shared" si="4"/>
        <v>0</v>
      </c>
      <c r="AT15" s="751">
        <f t="shared" ref="AT15:AT36" si="21">AQ15</f>
        <v>0</v>
      </c>
      <c r="AU15" s="846">
        <f t="shared" si="5"/>
        <v>0</v>
      </c>
      <c r="AV15" s="751">
        <f t="shared" si="6"/>
        <v>0</v>
      </c>
      <c r="AW15" s="846">
        <f t="shared" si="7"/>
        <v>0</v>
      </c>
      <c r="AX15" s="751">
        <f t="shared" si="8"/>
        <v>0</v>
      </c>
      <c r="AY15" s="708" t="s">
        <v>130</v>
      </c>
      <c r="AZ15" s="753" t="s">
        <v>130</v>
      </c>
      <c r="BB15" s="566"/>
      <c r="BC15" s="566"/>
      <c r="BD15" s="1575" t="s">
        <v>268</v>
      </c>
      <c r="BE15" s="1575"/>
      <c r="BF15" s="1575"/>
      <c r="BG15" s="1575"/>
      <c r="BH15" s="1575"/>
      <c r="BI15" s="1575"/>
      <c r="BJ15" s="765">
        <f t="shared" si="9"/>
        <v>3.1036594771999999E-2</v>
      </c>
      <c r="BK15" s="766">
        <f t="shared" si="10"/>
        <v>1035.9927015759845</v>
      </c>
      <c r="BL15" s="767">
        <f t="shared" si="11"/>
        <v>0</v>
      </c>
      <c r="BM15" s="766">
        <f t="shared" si="12"/>
        <v>0</v>
      </c>
      <c r="BN15" s="766">
        <f t="shared" si="13"/>
        <v>1035.9927015759845</v>
      </c>
      <c r="BO15" s="766">
        <f t="shared" si="14"/>
        <v>0</v>
      </c>
      <c r="BP15" s="766">
        <f t="shared" si="15"/>
        <v>0</v>
      </c>
      <c r="BQ15" s="766">
        <f t="shared" si="16"/>
        <v>0</v>
      </c>
      <c r="BU15" s="1575" t="s">
        <v>268</v>
      </c>
      <c r="BV15" s="1575"/>
      <c r="BW15" s="1575"/>
      <c r="BX15" s="1575"/>
      <c r="BY15" s="1575"/>
      <c r="BZ15" s="1575"/>
      <c r="CA15" s="765">
        <f t="shared" ref="CA15:CA36" si="22">AB15</f>
        <v>3.1036594771999999E-2</v>
      </c>
      <c r="CB15" s="781">
        <f t="shared" ref="CB15:CB36" si="23">AP15</f>
        <v>0</v>
      </c>
      <c r="CC15" s="782">
        <f t="shared" ref="CC15:CC36" si="24">AR15</f>
        <v>1</v>
      </c>
      <c r="CD15" s="783">
        <f t="shared" ref="CD15:CD36" si="25">AS15</f>
        <v>0</v>
      </c>
      <c r="CE15" s="782">
        <f t="shared" ref="CE15:CE36" si="26">AU15</f>
        <v>0</v>
      </c>
      <c r="CF15" s="782">
        <f t="shared" ref="CF15:CF36" si="27">AW15</f>
        <v>0</v>
      </c>
      <c r="CI15" s="1575" t="s">
        <v>268</v>
      </c>
      <c r="CJ15" s="1575"/>
      <c r="CK15" s="1575"/>
      <c r="CL15" s="1575"/>
      <c r="CM15" s="1575"/>
      <c r="CN15" s="1575"/>
      <c r="CO15" s="765">
        <f t="shared" ref="CO15:CP36" si="28">AB15</f>
        <v>3.1036594771999999E-2</v>
      </c>
      <c r="CP15" s="825">
        <f t="shared" si="28"/>
        <v>1.165225299116744</v>
      </c>
      <c r="CQ15" s="765">
        <f>'SCE REF NTG'!AB15</f>
        <v>2.2356805679999998E-2</v>
      </c>
      <c r="CR15" s="825">
        <f>'SCE REF NTG'!AC15</f>
        <v>0.59989335896053064</v>
      </c>
      <c r="CS15" s="765">
        <f>'SDGE REF NTG'!AB15</f>
        <v>1.4882113583999998E-2</v>
      </c>
      <c r="CT15" s="825">
        <f>'SDGE REF NTG'!AC15</f>
        <v>0.88296801824752014</v>
      </c>
    </row>
    <row r="16" spans="1:99" ht="15" thickBot="1">
      <c r="A16" s="50" t="s">
        <v>32</v>
      </c>
      <c r="B16" s="71">
        <f>'Part Keep-Discard'!E12/100</f>
        <v>0.85852200000000001</v>
      </c>
      <c r="C16" s="216">
        <f>'Part Keep-Discard'!F13</f>
        <v>2.2999999999999998</v>
      </c>
      <c r="D16" s="447"/>
      <c r="E16" s="408" t="s">
        <v>53</v>
      </c>
      <c r="F16" s="67">
        <f>'Discarder Disposition'!H13/100</f>
        <v>0.21313500000000002</v>
      </c>
      <c r="G16" s="227">
        <f>'Discarder Disposition'!I13</f>
        <v>3.7932000000000001</v>
      </c>
      <c r="H16" s="57" t="s">
        <v>64</v>
      </c>
      <c r="I16" s="57"/>
      <c r="J16" s="57"/>
      <c r="K16" s="57"/>
      <c r="L16" s="57"/>
      <c r="M16" s="408"/>
      <c r="N16" s="57"/>
      <c r="O16" s="57"/>
      <c r="P16" s="57"/>
      <c r="Q16" s="57"/>
      <c r="R16" s="57"/>
      <c r="S16" s="228"/>
      <c r="T16" s="57"/>
      <c r="U16" s="57"/>
      <c r="V16" s="1791" t="s">
        <v>133</v>
      </c>
      <c r="W16" s="1791"/>
      <c r="X16" s="1791"/>
      <c r="Y16" s="1791"/>
      <c r="Z16" s="1791"/>
      <c r="AA16" s="1791"/>
      <c r="AB16" s="744">
        <f>B16*F16</f>
        <v>0.18298108647000003</v>
      </c>
      <c r="AC16" s="754">
        <f>100*AB16*SQRT(IF($B$16&gt;0,($C$16/$B$16/100)^2,0)+IF(F16&gt;0,(G16/F16/100)^2,0))</f>
        <v>3.2932348697670215</v>
      </c>
      <c r="AD16" s="709">
        <f t="shared" ref="AD16:AI16" si="29">SUMPRODUCT(AD$17:AD$35,$AB$17:$AB$35)/SUM($AB$17:$AB$35)</f>
        <v>1035.9927015759847</v>
      </c>
      <c r="AE16" s="709">
        <f t="shared" si="29"/>
        <v>68.711769825167238</v>
      </c>
      <c r="AF16" s="701">
        <f t="shared" si="29"/>
        <v>0.99856929877701084</v>
      </c>
      <c r="AG16" s="709">
        <f t="shared" si="29"/>
        <v>5.4084998932229177E-4</v>
      </c>
      <c r="AH16" s="709">
        <f t="shared" si="29"/>
        <v>1034.510505550832</v>
      </c>
      <c r="AI16" s="709">
        <f t="shared" si="29"/>
        <v>68.613480222189551</v>
      </c>
      <c r="AJ16" s="709">
        <v>457</v>
      </c>
      <c r="AK16" s="709">
        <f t="shared" ref="AK16:AO16" si="30">SUMPRODUCT(AK$17:AK$35,$AB$17:$AB$35)/SUM($AB$17:$AB$35)</f>
        <v>97.413712407143677</v>
      </c>
      <c r="AL16" s="701">
        <f>'Part KIU-KU'!H$25</f>
        <v>0.90680879999999997</v>
      </c>
      <c r="AM16" s="709">
        <f t="shared" si="30"/>
        <v>5.4084998932229177E-4</v>
      </c>
      <c r="AN16" s="709">
        <v>454</v>
      </c>
      <c r="AO16" s="709">
        <f t="shared" si="30"/>
        <v>97.359772183649781</v>
      </c>
      <c r="AP16" s="711">
        <f t="shared" si="20"/>
        <v>580.51050555083202</v>
      </c>
      <c r="AQ16" s="751">
        <f t="shared" si="3"/>
        <v>119.10808078318189</v>
      </c>
      <c r="AR16" s="711">
        <v>0</v>
      </c>
      <c r="AS16" s="707">
        <f t="shared" si="4"/>
        <v>0</v>
      </c>
      <c r="AT16" s="751">
        <f t="shared" si="21"/>
        <v>119.10808078318189</v>
      </c>
      <c r="AU16" s="845">
        <f t="shared" si="5"/>
        <v>106.22244301294022</v>
      </c>
      <c r="AV16" s="751">
        <f t="shared" si="6"/>
        <v>51.774022923945573</v>
      </c>
      <c r="AW16" s="846">
        <f t="shared" si="7"/>
        <v>0</v>
      </c>
      <c r="AX16" s="751">
        <f t="shared" si="8"/>
        <v>0</v>
      </c>
      <c r="AY16" s="708">
        <f>IF(AU16&gt;0,AW16/AU16,0)</f>
        <v>0</v>
      </c>
      <c r="AZ16" s="752">
        <f>AY16*SQRT(IF(AU16&gt;0,(AV16/AU16)^2,0)+IF(AW16&gt;0,(AX16/AW16)^2,0))</f>
        <v>0</v>
      </c>
      <c r="BB16" s="566"/>
      <c r="BC16" s="566"/>
      <c r="BD16" s="1575" t="s">
        <v>133</v>
      </c>
      <c r="BE16" s="1575"/>
      <c r="BF16" s="1575"/>
      <c r="BG16" s="1575"/>
      <c r="BH16" s="1575"/>
      <c r="BI16" s="1575"/>
      <c r="BJ16" s="765">
        <f t="shared" si="9"/>
        <v>0.18298108647000003</v>
      </c>
      <c r="BK16" s="766">
        <f t="shared" si="10"/>
        <v>1035.9927015759847</v>
      </c>
      <c r="BL16" s="767">
        <f t="shared" si="11"/>
        <v>0.99856929877701084</v>
      </c>
      <c r="BM16" s="766">
        <f t="shared" si="12"/>
        <v>1034.510505550832</v>
      </c>
      <c r="BN16" s="766">
        <f t="shared" si="13"/>
        <v>457</v>
      </c>
      <c r="BO16" s="766">
        <f t="shared" si="14"/>
        <v>0.90680879999999997</v>
      </c>
      <c r="BP16" s="766">
        <f t="shared" si="15"/>
        <v>454</v>
      </c>
      <c r="BQ16" s="766">
        <f t="shared" si="16"/>
        <v>580.51050555083202</v>
      </c>
      <c r="BU16" s="1575" t="s">
        <v>133</v>
      </c>
      <c r="BV16" s="1575"/>
      <c r="BW16" s="1575"/>
      <c r="BX16" s="1575"/>
      <c r="BY16" s="1575"/>
      <c r="BZ16" s="1575"/>
      <c r="CA16" s="765">
        <f t="shared" si="22"/>
        <v>0.18298108647000003</v>
      </c>
      <c r="CB16" s="781">
        <f t="shared" si="23"/>
        <v>580.51050555083202</v>
      </c>
      <c r="CC16" s="782">
        <f t="shared" si="24"/>
        <v>0</v>
      </c>
      <c r="CD16" s="783">
        <f t="shared" si="25"/>
        <v>0</v>
      </c>
      <c r="CE16" s="782">
        <f t="shared" si="26"/>
        <v>106.22244301294022</v>
      </c>
      <c r="CF16" s="782">
        <f t="shared" si="27"/>
        <v>0</v>
      </c>
      <c r="CI16" s="1575" t="s">
        <v>133</v>
      </c>
      <c r="CJ16" s="1575"/>
      <c r="CK16" s="1575"/>
      <c r="CL16" s="1575"/>
      <c r="CM16" s="1575"/>
      <c r="CN16" s="1575"/>
      <c r="CO16" s="765">
        <f t="shared" si="28"/>
        <v>0.18298108647000003</v>
      </c>
      <c r="CP16" s="825">
        <f t="shared" si="28"/>
        <v>3.2932348697670215</v>
      </c>
      <c r="CQ16" s="765">
        <f>'SCE REF NTG'!AB16</f>
        <v>0.171631038475</v>
      </c>
      <c r="CR16" s="825">
        <f>'SCE REF NTG'!AC16</f>
        <v>3.022683633839049</v>
      </c>
      <c r="CS16" s="765">
        <f>'SDGE REF NTG'!AB16</f>
        <v>0.22879541821899999</v>
      </c>
      <c r="CT16" s="825">
        <f>'SDGE REF NTG'!AC16</f>
        <v>7.7147193697114238</v>
      </c>
    </row>
    <row r="17" spans="1:98" ht="15.75" customHeight="1" thickBot="1">
      <c r="A17" s="60"/>
      <c r="B17" s="218"/>
      <c r="C17" s="219"/>
      <c r="D17" s="218"/>
      <c r="E17" s="51" t="s">
        <v>62</v>
      </c>
      <c r="F17" s="68">
        <f>'Discarder Disposition'!H14/100</f>
        <v>0.222468</v>
      </c>
      <c r="G17" s="229">
        <f>'Discarder Disposition'!I14</f>
        <v>3.8622000000000001</v>
      </c>
      <c r="H17" s="52" t="s">
        <v>64</v>
      </c>
      <c r="I17" s="230"/>
      <c r="J17" s="230"/>
      <c r="K17" s="230"/>
      <c r="L17" s="231"/>
      <c r="M17" s="209" t="s">
        <v>59</v>
      </c>
      <c r="N17" s="207">
        <f>'P2P CF if Unit not available'!E86/100</f>
        <v>0.76550700000000005</v>
      </c>
      <c r="O17" s="232">
        <f>'P2P CF if Unit not available'!F86</f>
        <v>3.4982000000000002</v>
      </c>
      <c r="P17" s="89" t="s">
        <v>72</v>
      </c>
      <c r="Q17" s="90">
        <f>'P2P CF if Unit not available'!E16/100</f>
        <v>0.11766600000000001</v>
      </c>
      <c r="R17" s="233">
        <f>'P2P CF if Unit not available'!F16</f>
        <v>4.6958000000000002</v>
      </c>
      <c r="S17" s="209" t="s">
        <v>67</v>
      </c>
      <c r="T17" s="209"/>
      <c r="U17" s="209"/>
      <c r="V17" s="1782" t="s">
        <v>340</v>
      </c>
      <c r="W17" s="1782" t="s">
        <v>341</v>
      </c>
      <c r="X17" s="1782" t="s">
        <v>342</v>
      </c>
      <c r="Y17" s="1785" t="s">
        <v>344</v>
      </c>
      <c r="Z17" s="1785"/>
      <c r="AA17" s="1785"/>
      <c r="AB17" s="745">
        <f>B16*F17*N17*Q17</f>
        <v>1.7203592049903873E-2</v>
      </c>
      <c r="AC17" s="755">
        <f>100*AB17*SQRT(IF($B$16&gt;0,($C$16/$B$16/100)^2,0)+IF($F$17&gt;0,($G$17/$F$17/100)^2,0)+IF($N$17&gt;0,($O$17/$N$17/100)^2,0)+IF(Q17&gt;0,(R17/Q17/100)^2,0))</f>
        <v>0.75423428132297088</v>
      </c>
      <c r="AD17" s="703">
        <f t="shared" si="0"/>
        <v>1035.9927015759845</v>
      </c>
      <c r="AE17" s="704">
        <f t="shared" si="1"/>
        <v>68.711769825167252</v>
      </c>
      <c r="AF17" s="701">
        <v>1</v>
      </c>
      <c r="AG17" s="702">
        <v>0</v>
      </c>
      <c r="AH17" s="709">
        <f t="shared" si="2"/>
        <v>1035.9927015759845</v>
      </c>
      <c r="AI17" s="710">
        <f t="shared" si="17"/>
        <v>68.711769825167252</v>
      </c>
      <c r="AJ17" s="709">
        <f>$AB$5</f>
        <v>791</v>
      </c>
      <c r="AK17" s="710">
        <f>$AC$5</f>
        <v>98</v>
      </c>
      <c r="AL17" s="701">
        <v>1</v>
      </c>
      <c r="AM17" s="702">
        <v>0</v>
      </c>
      <c r="AN17" s="709">
        <f t="shared" si="18"/>
        <v>791</v>
      </c>
      <c r="AO17" s="704">
        <f t="shared" si="19"/>
        <v>98</v>
      </c>
      <c r="AP17" s="711">
        <f t="shared" si="20"/>
        <v>244.99270157598448</v>
      </c>
      <c r="AQ17" s="751">
        <f t="shared" si="3"/>
        <v>119.68837584538761</v>
      </c>
      <c r="AR17" s="711">
        <v>1</v>
      </c>
      <c r="AS17" s="711">
        <f t="shared" si="4"/>
        <v>244.99270157598448</v>
      </c>
      <c r="AT17" s="751">
        <f t="shared" si="21"/>
        <v>119.68837584538761</v>
      </c>
      <c r="AU17" s="845">
        <f t="shared" si="5"/>
        <v>4.2147544931170788</v>
      </c>
      <c r="AV17" s="751">
        <f t="shared" si="6"/>
        <v>3.4774860660238813</v>
      </c>
      <c r="AW17" s="845">
        <f t="shared" si="7"/>
        <v>4.2147544931170788</v>
      </c>
      <c r="AX17" s="751">
        <f t="shared" si="8"/>
        <v>2.7666232253420011</v>
      </c>
      <c r="AY17" s="708">
        <f>IF(AU17&gt;0,AW17/AU17,0)</f>
        <v>1</v>
      </c>
      <c r="AZ17" s="752">
        <f t="shared" ref="AZ17:AZ36" si="31">AY17*SQRT(IF(AU17&gt;0,(AV17/AU17)^2,0)+IF(AW17&gt;0,(AX17/AW17)^2,0))</f>
        <v>1.0543371950472735</v>
      </c>
      <c r="BB17" s="566"/>
      <c r="BC17" s="566"/>
      <c r="BD17" s="1583" t="s">
        <v>340</v>
      </c>
      <c r="BE17" s="1592" t="s">
        <v>341</v>
      </c>
      <c r="BF17" s="1592" t="s">
        <v>342</v>
      </c>
      <c r="BG17" s="1575" t="s">
        <v>344</v>
      </c>
      <c r="BH17" s="1575"/>
      <c r="BI17" s="1575"/>
      <c r="BJ17" s="765">
        <f t="shared" si="9"/>
        <v>1.7203592049903873E-2</v>
      </c>
      <c r="BK17" s="766">
        <f t="shared" si="10"/>
        <v>1035.9927015759845</v>
      </c>
      <c r="BL17" s="767">
        <f t="shared" si="11"/>
        <v>1</v>
      </c>
      <c r="BM17" s="766">
        <f t="shared" si="12"/>
        <v>1035.9927015759845</v>
      </c>
      <c r="BN17" s="766">
        <f t="shared" si="13"/>
        <v>791</v>
      </c>
      <c r="BO17" s="766">
        <f t="shared" si="14"/>
        <v>1</v>
      </c>
      <c r="BP17" s="766">
        <f t="shared" si="15"/>
        <v>791</v>
      </c>
      <c r="BQ17" s="766">
        <f t="shared" si="16"/>
        <v>244.99270157598448</v>
      </c>
      <c r="BU17" s="1583" t="s">
        <v>340</v>
      </c>
      <c r="BV17" s="1592" t="s">
        <v>341</v>
      </c>
      <c r="BW17" s="1592" t="s">
        <v>342</v>
      </c>
      <c r="BX17" s="1575" t="s">
        <v>344</v>
      </c>
      <c r="BY17" s="1575"/>
      <c r="BZ17" s="1575"/>
      <c r="CA17" s="765">
        <f t="shared" si="22"/>
        <v>1.7203592049903873E-2</v>
      </c>
      <c r="CB17" s="781">
        <f t="shared" si="23"/>
        <v>244.99270157598448</v>
      </c>
      <c r="CC17" s="782">
        <f t="shared" si="24"/>
        <v>1</v>
      </c>
      <c r="CD17" s="783">
        <f t="shared" si="25"/>
        <v>244.99270157598448</v>
      </c>
      <c r="CE17" s="782">
        <f t="shared" si="26"/>
        <v>4.2147544931170788</v>
      </c>
      <c r="CF17" s="782">
        <f t="shared" si="27"/>
        <v>4.2147544931170788</v>
      </c>
      <c r="CI17" s="1583" t="s">
        <v>340</v>
      </c>
      <c r="CJ17" s="1592" t="s">
        <v>341</v>
      </c>
      <c r="CK17" s="1592" t="s">
        <v>342</v>
      </c>
      <c r="CL17" s="1575" t="s">
        <v>344</v>
      </c>
      <c r="CM17" s="1575"/>
      <c r="CN17" s="1575"/>
      <c r="CO17" s="765">
        <f t="shared" si="28"/>
        <v>1.7203592049903873E-2</v>
      </c>
      <c r="CP17" s="825">
        <f t="shared" si="28"/>
        <v>0.75423428132297088</v>
      </c>
      <c r="CQ17" s="765">
        <f>'SCE REF NTG'!AB17</f>
        <v>0</v>
      </c>
      <c r="CR17" s="825">
        <f>'SCE REF NTG'!AC17</f>
        <v>0</v>
      </c>
      <c r="CS17" s="765">
        <f>'SDGE REF NTG'!AB17</f>
        <v>0.13407385054955506</v>
      </c>
      <c r="CT17" s="825">
        <f>'SDGE REF NTG'!AC17</f>
        <v>6.5729282573227419</v>
      </c>
    </row>
    <row r="18" spans="1:98" ht="15" thickBot="1">
      <c r="A18" s="60"/>
      <c r="B18" s="218"/>
      <c r="C18" s="219"/>
      <c r="D18" s="218"/>
      <c r="E18" s="51"/>
      <c r="F18" s="68"/>
      <c r="G18" s="229"/>
      <c r="H18" s="52"/>
      <c r="I18" s="52"/>
      <c r="J18" s="52"/>
      <c r="K18" s="52"/>
      <c r="L18" s="59"/>
      <c r="M18" s="209"/>
      <c r="N18" s="207"/>
      <c r="O18" s="232"/>
      <c r="P18" s="89" t="s">
        <v>73</v>
      </c>
      <c r="Q18" s="90">
        <f>'P2P CF if Unit not available'!E17/100</f>
        <v>0.21109100000000003</v>
      </c>
      <c r="R18" s="233">
        <f>'P2P CF if Unit not available'!F17</f>
        <v>6.4302000000000001</v>
      </c>
      <c r="S18" s="209"/>
      <c r="T18" s="209"/>
      <c r="U18" s="209"/>
      <c r="V18" s="1782"/>
      <c r="W18" s="1782"/>
      <c r="X18" s="1782"/>
      <c r="Y18" s="1785" t="s">
        <v>345</v>
      </c>
      <c r="Z18" s="1785"/>
      <c r="AA18" s="1785"/>
      <c r="AB18" s="745">
        <f>B16*F17*N17*Q18</f>
        <v>3.0862980380111999E-2</v>
      </c>
      <c r="AC18" s="755">
        <f>100*AB18*SQRT(IF($B$16&gt;0,($C$16/$B$16/100)^2,0)+IF($F$17&gt;0,($G$17/$F$17/100)^2,0)+IF($N$17&gt;0,($O$17/$N$17/100)^2,0)+IF(Q18&gt;0,(R18/Q18/100)^2,0))</f>
        <v>1.0943839588067361</v>
      </c>
      <c r="AD18" s="703">
        <f t="shared" si="0"/>
        <v>1035.9927015759845</v>
      </c>
      <c r="AE18" s="704">
        <f t="shared" si="1"/>
        <v>68.711769825167252</v>
      </c>
      <c r="AF18" s="701">
        <v>1</v>
      </c>
      <c r="AG18" s="702">
        <v>0</v>
      </c>
      <c r="AH18" s="709">
        <f t="shared" si="2"/>
        <v>1035.9927015759845</v>
      </c>
      <c r="AI18" s="710">
        <f t="shared" si="17"/>
        <v>68.711769825167252</v>
      </c>
      <c r="AJ18" s="709">
        <f>$AB$6</f>
        <v>783</v>
      </c>
      <c r="AK18" s="710">
        <f>$AC$6</f>
        <v>106</v>
      </c>
      <c r="AL18" s="701">
        <v>1</v>
      </c>
      <c r="AM18" s="702">
        <v>0</v>
      </c>
      <c r="AN18" s="709">
        <f t="shared" si="18"/>
        <v>783</v>
      </c>
      <c r="AO18" s="704">
        <f t="shared" si="19"/>
        <v>106.00000000000001</v>
      </c>
      <c r="AP18" s="711">
        <f t="shared" si="20"/>
        <v>252.99270157598448</v>
      </c>
      <c r="AQ18" s="751">
        <f t="shared" si="3"/>
        <v>126.32223601768126</v>
      </c>
      <c r="AR18" s="711">
        <v>1</v>
      </c>
      <c r="AS18" s="711">
        <f t="shared" si="4"/>
        <v>252.99270157598448</v>
      </c>
      <c r="AT18" s="751">
        <f t="shared" si="21"/>
        <v>126.32223601768126</v>
      </c>
      <c r="AU18" s="845">
        <f t="shared" si="5"/>
        <v>7.8081087850511395</v>
      </c>
      <c r="AV18" s="751">
        <f t="shared" si="6"/>
        <v>6.1730937598564104</v>
      </c>
      <c r="AW18" s="845">
        <f t="shared" si="7"/>
        <v>7.8081087850511395</v>
      </c>
      <c r="AX18" s="751">
        <f t="shared" si="8"/>
        <v>4.7817857276167866</v>
      </c>
      <c r="AY18" s="708">
        <f t="shared" ref="AY18:AY36" si="32">IF(AU18&gt;0,AW18/AU18,0)</f>
        <v>1</v>
      </c>
      <c r="AZ18" s="752">
        <f t="shared" si="31"/>
        <v>1.0000491939007881</v>
      </c>
      <c r="BB18" s="566"/>
      <c r="BC18" s="566"/>
      <c r="BD18" s="1583"/>
      <c r="BE18" s="1593"/>
      <c r="BF18" s="1593"/>
      <c r="BG18" s="1575" t="s">
        <v>345</v>
      </c>
      <c r="BH18" s="1575"/>
      <c r="BI18" s="1575"/>
      <c r="BJ18" s="765">
        <f t="shared" si="9"/>
        <v>3.0862980380111999E-2</v>
      </c>
      <c r="BK18" s="766">
        <f t="shared" si="10"/>
        <v>1035.9927015759845</v>
      </c>
      <c r="BL18" s="767">
        <f t="shared" si="11"/>
        <v>1</v>
      </c>
      <c r="BM18" s="766">
        <f t="shared" si="12"/>
        <v>1035.9927015759845</v>
      </c>
      <c r="BN18" s="766">
        <f t="shared" si="13"/>
        <v>783</v>
      </c>
      <c r="BO18" s="766">
        <f t="shared" si="14"/>
        <v>1</v>
      </c>
      <c r="BP18" s="766">
        <f t="shared" si="15"/>
        <v>783</v>
      </c>
      <c r="BQ18" s="766">
        <f t="shared" si="16"/>
        <v>252.99270157598448</v>
      </c>
      <c r="BU18" s="1583"/>
      <c r="BV18" s="1593"/>
      <c r="BW18" s="1593"/>
      <c r="BX18" s="1575" t="s">
        <v>345</v>
      </c>
      <c r="BY18" s="1575"/>
      <c r="BZ18" s="1575"/>
      <c r="CA18" s="765">
        <f t="shared" si="22"/>
        <v>3.0862980380111999E-2</v>
      </c>
      <c r="CB18" s="781">
        <f t="shared" si="23"/>
        <v>252.99270157598448</v>
      </c>
      <c r="CC18" s="782">
        <f t="shared" si="24"/>
        <v>1</v>
      </c>
      <c r="CD18" s="783">
        <f t="shared" si="25"/>
        <v>252.99270157598448</v>
      </c>
      <c r="CE18" s="782">
        <f t="shared" si="26"/>
        <v>7.8081087850511395</v>
      </c>
      <c r="CF18" s="782">
        <f t="shared" si="27"/>
        <v>7.8081087850511395</v>
      </c>
      <c r="CI18" s="1583"/>
      <c r="CJ18" s="1593"/>
      <c r="CK18" s="1593"/>
      <c r="CL18" s="1575" t="s">
        <v>345</v>
      </c>
      <c r="CM18" s="1575"/>
      <c r="CN18" s="1575"/>
      <c r="CO18" s="765">
        <f t="shared" si="28"/>
        <v>3.0862980380111999E-2</v>
      </c>
      <c r="CP18" s="825">
        <f t="shared" si="28"/>
        <v>1.0943839588067361</v>
      </c>
      <c r="CQ18" s="765">
        <f>'SCE REF NTG'!AB18</f>
        <v>4.8749351201291015E-2</v>
      </c>
      <c r="CR18" s="825">
        <f>'SCE REF NTG'!AC18</f>
        <v>1.4414355330323816</v>
      </c>
      <c r="CS18" s="765">
        <f>'SDGE REF NTG'!AB18</f>
        <v>3.9271463679762433E-2</v>
      </c>
      <c r="CT18" s="825">
        <f>'SDGE REF NTG'!AC18</f>
        <v>4.1045128873421808</v>
      </c>
    </row>
    <row r="19" spans="1:98" ht="15" thickBot="1">
      <c r="A19" s="60"/>
      <c r="B19" s="218"/>
      <c r="C19" s="219"/>
      <c r="D19" s="218"/>
      <c r="E19" s="51"/>
      <c r="F19" s="68"/>
      <c r="G19" s="229"/>
      <c r="H19" s="52"/>
      <c r="I19" s="52"/>
      <c r="J19" s="52"/>
      <c r="K19" s="52"/>
      <c r="L19" s="59"/>
      <c r="M19" s="209"/>
      <c r="N19" s="207"/>
      <c r="O19" s="232"/>
      <c r="P19" s="89" t="s">
        <v>74</v>
      </c>
      <c r="Q19" s="90">
        <f>'P2P CF if Unit not available'!E18/100</f>
        <v>0.249086</v>
      </c>
      <c r="R19" s="233">
        <f>'P2P CF if Unit not available'!F18</f>
        <v>6.7232000000000003</v>
      </c>
      <c r="S19" s="209"/>
      <c r="T19" s="209"/>
      <c r="U19" s="209"/>
      <c r="V19" s="1782"/>
      <c r="W19" s="1782"/>
      <c r="X19" s="1782"/>
      <c r="Y19" s="1785" t="s">
        <v>346</v>
      </c>
      <c r="Z19" s="1785"/>
      <c r="AA19" s="1785"/>
      <c r="AB19" s="745">
        <f>B16*F17*N17*Q19</f>
        <v>3.6418115082881682E-2</v>
      </c>
      <c r="AC19" s="755">
        <f>100*AB19*SQRT(IF($B$16&gt;0,($C$16/$B$16/100)^2,0)+IF($F$17&gt;0,($G$17/$F$17/100)^2,0)+IF($N$17&gt;0,($O$17/$N$17/100)^2,0)+IF(Q19&gt;0,(R19/Q19/100)^2,0))</f>
        <v>1.1845654520815387</v>
      </c>
      <c r="AD19" s="703">
        <f t="shared" si="0"/>
        <v>1035.9927015759845</v>
      </c>
      <c r="AE19" s="704">
        <f t="shared" si="1"/>
        <v>68.711769825167252</v>
      </c>
      <c r="AF19" s="701">
        <v>1</v>
      </c>
      <c r="AG19" s="702">
        <v>0</v>
      </c>
      <c r="AH19" s="709">
        <f t="shared" si="2"/>
        <v>1035.9927015759845</v>
      </c>
      <c r="AI19" s="710">
        <f t="shared" si="17"/>
        <v>68.711769825167252</v>
      </c>
      <c r="AJ19" s="709">
        <f>AB7</f>
        <v>452</v>
      </c>
      <c r="AK19" s="710"/>
      <c r="AL19" s="701">
        <v>1</v>
      </c>
      <c r="AM19" s="702">
        <v>0</v>
      </c>
      <c r="AN19" s="709">
        <f t="shared" si="18"/>
        <v>452</v>
      </c>
      <c r="AO19" s="704">
        <f t="shared" si="19"/>
        <v>0</v>
      </c>
      <c r="AP19" s="711">
        <f t="shared" si="20"/>
        <v>583.99270157598448</v>
      </c>
      <c r="AQ19" s="751">
        <f t="shared" si="3"/>
        <v>68.711769825167252</v>
      </c>
      <c r="AR19" s="711">
        <v>1</v>
      </c>
      <c r="AS19" s="711">
        <f t="shared" si="4"/>
        <v>583.99270157598448</v>
      </c>
      <c r="AT19" s="751">
        <f t="shared" si="21"/>
        <v>68.711769825167252</v>
      </c>
      <c r="AU19" s="845">
        <f t="shared" si="5"/>
        <v>21.267913413557181</v>
      </c>
      <c r="AV19" s="751">
        <f t="shared" si="6"/>
        <v>10.05362878531472</v>
      </c>
      <c r="AW19" s="845">
        <f t="shared" si="7"/>
        <v>21.267913413557181</v>
      </c>
      <c r="AX19" s="751">
        <f t="shared" si="8"/>
        <v>7.3564524780342895</v>
      </c>
      <c r="AY19" s="708">
        <f t="shared" si="32"/>
        <v>1</v>
      </c>
      <c r="AZ19" s="752">
        <f t="shared" si="31"/>
        <v>0.58574820117122162</v>
      </c>
      <c r="BB19" s="566"/>
      <c r="BC19" s="566"/>
      <c r="BD19" s="1583"/>
      <c r="BE19" s="1593"/>
      <c r="BF19" s="1593"/>
      <c r="BG19" s="1575" t="s">
        <v>346</v>
      </c>
      <c r="BH19" s="1575"/>
      <c r="BI19" s="1575"/>
      <c r="BJ19" s="765">
        <f t="shared" si="9"/>
        <v>3.6418115082881682E-2</v>
      </c>
      <c r="BK19" s="766">
        <f t="shared" si="10"/>
        <v>1035.9927015759845</v>
      </c>
      <c r="BL19" s="767">
        <f t="shared" si="11"/>
        <v>1</v>
      </c>
      <c r="BM19" s="766">
        <f t="shared" si="12"/>
        <v>1035.9927015759845</v>
      </c>
      <c r="BN19" s="766">
        <f t="shared" si="13"/>
        <v>452</v>
      </c>
      <c r="BO19" s="766">
        <f t="shared" si="14"/>
        <v>1</v>
      </c>
      <c r="BP19" s="766">
        <f t="shared" si="15"/>
        <v>452</v>
      </c>
      <c r="BQ19" s="766">
        <f t="shared" si="16"/>
        <v>583.99270157598448</v>
      </c>
      <c r="BU19" s="1583"/>
      <c r="BV19" s="1593"/>
      <c r="BW19" s="1593"/>
      <c r="BX19" s="1575" t="s">
        <v>346</v>
      </c>
      <c r="BY19" s="1575"/>
      <c r="BZ19" s="1575"/>
      <c r="CA19" s="765">
        <f t="shared" si="22"/>
        <v>3.6418115082881682E-2</v>
      </c>
      <c r="CB19" s="781">
        <f t="shared" si="23"/>
        <v>583.99270157598448</v>
      </c>
      <c r="CC19" s="782">
        <f t="shared" si="24"/>
        <v>1</v>
      </c>
      <c r="CD19" s="783">
        <f t="shared" si="25"/>
        <v>583.99270157598448</v>
      </c>
      <c r="CE19" s="782">
        <f t="shared" si="26"/>
        <v>21.267913413557181</v>
      </c>
      <c r="CF19" s="782">
        <f t="shared" si="27"/>
        <v>21.267913413557181</v>
      </c>
      <c r="CI19" s="1583"/>
      <c r="CJ19" s="1593"/>
      <c r="CK19" s="1593"/>
      <c r="CL19" s="1575" t="s">
        <v>346</v>
      </c>
      <c r="CM19" s="1575"/>
      <c r="CN19" s="1575"/>
      <c r="CO19" s="765">
        <f t="shared" si="28"/>
        <v>3.6418115082881682E-2</v>
      </c>
      <c r="CP19" s="825">
        <f t="shared" si="28"/>
        <v>1.1845654520815387</v>
      </c>
      <c r="CQ19" s="765">
        <f>'SCE REF NTG'!AB19</f>
        <v>0.10742345422686381</v>
      </c>
      <c r="CR19" s="825">
        <f>'SCE REF NTG'!AC19</f>
        <v>2.1505864859661825</v>
      </c>
      <c r="CS19" s="765">
        <f>'SDGE REF NTG'!AB19</f>
        <v>0</v>
      </c>
      <c r="CT19" s="825">
        <f>'SDGE REF NTG'!AC19</f>
        <v>0</v>
      </c>
    </row>
    <row r="20" spans="1:98" ht="24.6" thickBot="1">
      <c r="A20" s="60"/>
      <c r="B20" s="218"/>
      <c r="C20" s="219"/>
      <c r="D20" s="218"/>
      <c r="E20" s="51"/>
      <c r="F20" s="68"/>
      <c r="G20" s="229"/>
      <c r="H20" s="52"/>
      <c r="I20" s="52"/>
      <c r="J20" s="52"/>
      <c r="K20" s="52"/>
      <c r="L20" s="59"/>
      <c r="M20" s="209"/>
      <c r="N20" s="207"/>
      <c r="O20" s="234"/>
      <c r="P20" s="1941" t="s">
        <v>76</v>
      </c>
      <c r="Q20" s="1942">
        <f>'P2P CF if Unit not available'!E19/100</f>
        <v>0.422157</v>
      </c>
      <c r="R20" s="235">
        <f>'P2P CF if Unit not available'!F19</f>
        <v>7.6356000000000002</v>
      </c>
      <c r="S20" s="209"/>
      <c r="T20" s="210" t="s">
        <v>509</v>
      </c>
      <c r="U20" s="715">
        <f>'P2P CF if Unit not available'!AH32</f>
        <v>0</v>
      </c>
      <c r="V20" s="1782"/>
      <c r="W20" s="1782"/>
      <c r="X20" s="1782"/>
      <c r="Y20" s="1789" t="s">
        <v>494</v>
      </c>
      <c r="Z20" s="1789"/>
      <c r="AA20" s="734" t="s">
        <v>509</v>
      </c>
      <c r="AB20" s="745">
        <f>B16*F17*N17*Q20*U20</f>
        <v>0</v>
      </c>
      <c r="AC20" s="755">
        <f>100*AB20*SQRT(IF($B$16&gt;0,($C$16/$B$16/100)^2,0)+IF($F$17&gt;0,($G$17/$F$17/100)^2,0)+IF($N$17&gt;0,($O$17/$N$17/100)^2,0)+IF(Q20&gt;0,(R20/Q20/100)^2,0))</f>
        <v>0</v>
      </c>
      <c r="AD20" s="703">
        <f t="shared" si="0"/>
        <v>1035.9927015759845</v>
      </c>
      <c r="AE20" s="704">
        <f t="shared" si="1"/>
        <v>68.711769825167252</v>
      </c>
      <c r="AF20" s="701">
        <v>1</v>
      </c>
      <c r="AG20" s="702">
        <v>0</v>
      </c>
      <c r="AH20" s="709">
        <f t="shared" si="2"/>
        <v>1035.9927015759845</v>
      </c>
      <c r="AI20" s="710">
        <f t="shared" si="17"/>
        <v>68.711769825167252</v>
      </c>
      <c r="AJ20" s="703">
        <f t="shared" ref="AJ20" si="33">$AB$4</f>
        <v>1035.9927015759845</v>
      </c>
      <c r="AK20" s="710"/>
      <c r="AL20" s="701">
        <v>1</v>
      </c>
      <c r="AM20" s="702">
        <v>0</v>
      </c>
      <c r="AN20" s="709">
        <f t="shared" si="18"/>
        <v>1035.9927015759845</v>
      </c>
      <c r="AO20" s="704">
        <f t="shared" si="19"/>
        <v>0</v>
      </c>
      <c r="AP20" s="711">
        <f t="shared" si="20"/>
        <v>0</v>
      </c>
      <c r="AQ20" s="751">
        <f t="shared" si="3"/>
        <v>68.711769825167252</v>
      </c>
      <c r="AR20" s="711">
        <v>1</v>
      </c>
      <c r="AS20" s="711">
        <f t="shared" si="4"/>
        <v>0</v>
      </c>
      <c r="AT20" s="751">
        <f t="shared" si="21"/>
        <v>68.711769825167252</v>
      </c>
      <c r="AU20" s="845">
        <f t="shared" si="5"/>
        <v>0</v>
      </c>
      <c r="AV20" s="751">
        <f t="shared" si="6"/>
        <v>0</v>
      </c>
      <c r="AW20" s="845">
        <f t="shared" si="7"/>
        <v>0</v>
      </c>
      <c r="AX20" s="751">
        <f t="shared" si="8"/>
        <v>0</v>
      </c>
      <c r="AY20" s="708">
        <f t="shared" si="32"/>
        <v>0</v>
      </c>
      <c r="AZ20" s="752">
        <f t="shared" si="31"/>
        <v>0</v>
      </c>
      <c r="BB20" s="566"/>
      <c r="BC20" s="566"/>
      <c r="BD20" s="1583"/>
      <c r="BE20" s="1593"/>
      <c r="BF20" s="1593"/>
      <c r="BG20" s="1605" t="s">
        <v>494</v>
      </c>
      <c r="BH20" s="1605"/>
      <c r="BI20" s="774" t="s">
        <v>509</v>
      </c>
      <c r="BJ20" s="765">
        <f t="shared" si="9"/>
        <v>0</v>
      </c>
      <c r="BK20" s="766">
        <f t="shared" si="10"/>
        <v>1035.9927015759845</v>
      </c>
      <c r="BL20" s="767">
        <f t="shared" si="11"/>
        <v>1</v>
      </c>
      <c r="BM20" s="766">
        <f t="shared" si="12"/>
        <v>1035.9927015759845</v>
      </c>
      <c r="BN20" s="766">
        <f t="shared" si="13"/>
        <v>1035.9927015759845</v>
      </c>
      <c r="BO20" s="766">
        <f t="shared" si="14"/>
        <v>1</v>
      </c>
      <c r="BP20" s="766">
        <f t="shared" si="15"/>
        <v>1035.9927015759845</v>
      </c>
      <c r="BQ20" s="766">
        <f t="shared" si="16"/>
        <v>0</v>
      </c>
      <c r="BU20" s="1583"/>
      <c r="BV20" s="1593"/>
      <c r="BW20" s="1593"/>
      <c r="BX20" s="1605" t="s">
        <v>494</v>
      </c>
      <c r="BY20" s="1605"/>
      <c r="BZ20" s="774" t="s">
        <v>509</v>
      </c>
      <c r="CA20" s="765">
        <f t="shared" si="22"/>
        <v>0</v>
      </c>
      <c r="CB20" s="781">
        <f t="shared" si="23"/>
        <v>0</v>
      </c>
      <c r="CC20" s="782">
        <f t="shared" si="24"/>
        <v>1</v>
      </c>
      <c r="CD20" s="783">
        <f t="shared" si="25"/>
        <v>0</v>
      </c>
      <c r="CE20" s="782">
        <f t="shared" si="26"/>
        <v>0</v>
      </c>
      <c r="CF20" s="782">
        <f t="shared" si="27"/>
        <v>0</v>
      </c>
      <c r="CI20" s="1583"/>
      <c r="CJ20" s="1593"/>
      <c r="CK20" s="1593"/>
      <c r="CL20" s="1605" t="s">
        <v>494</v>
      </c>
      <c r="CM20" s="1605"/>
      <c r="CN20" s="774" t="s">
        <v>509</v>
      </c>
      <c r="CO20" s="765">
        <f t="shared" si="28"/>
        <v>0</v>
      </c>
      <c r="CP20" s="825">
        <f t="shared" si="28"/>
        <v>0</v>
      </c>
      <c r="CQ20" s="765">
        <f>'SCE REF NTG'!AB20</f>
        <v>0</v>
      </c>
      <c r="CR20" s="825">
        <f>'SCE REF NTG'!AC20</f>
        <v>0</v>
      </c>
      <c r="CS20" s="765">
        <f>'SDGE REF NTG'!AB20</f>
        <v>0</v>
      </c>
      <c r="CT20" s="825">
        <f>'SDGE REF NTG'!AC20</f>
        <v>0</v>
      </c>
    </row>
    <row r="21" spans="1:98" ht="24.6" thickBot="1">
      <c r="A21" s="60"/>
      <c r="B21" s="218"/>
      <c r="C21" s="219"/>
      <c r="D21" s="218"/>
      <c r="E21" s="51"/>
      <c r="F21" s="68"/>
      <c r="G21" s="229"/>
      <c r="H21" s="52"/>
      <c r="I21" s="52"/>
      <c r="J21" s="52"/>
      <c r="K21" s="52"/>
      <c r="L21" s="59"/>
      <c r="M21" s="210"/>
      <c r="N21" s="208"/>
      <c r="O21" s="232"/>
      <c r="P21" s="1941"/>
      <c r="Q21" s="1942"/>
      <c r="R21" s="712"/>
      <c r="S21" s="209"/>
      <c r="T21" s="209" t="s">
        <v>508</v>
      </c>
      <c r="U21" s="716">
        <f>'P2P CF if Unit not available'!AH31</f>
        <v>0</v>
      </c>
      <c r="V21" s="1782"/>
      <c r="W21" s="1782"/>
      <c r="X21" s="1782"/>
      <c r="Y21" s="1789"/>
      <c r="Z21" s="1789"/>
      <c r="AA21" s="734" t="s">
        <v>511</v>
      </c>
      <c r="AB21" s="745">
        <f>B16*F17*N17*Q20*U21</f>
        <v>0</v>
      </c>
      <c r="AC21" s="755">
        <f>100*AB21*SQRT(IF($B$16&gt;0,($C$16/$B$16/100)^2,0)+IF($F$17&gt;0,($G$17/$F$17/100)^2,0)+IF($N$17&gt;0,($O$17/$N$17/100)^2,0)+IF(Q20&gt;0,(R20/Q20/100)^2,0))</f>
        <v>0</v>
      </c>
      <c r="AD21" s="703">
        <f t="shared" si="0"/>
        <v>1035.9927015759845</v>
      </c>
      <c r="AE21" s="704">
        <f t="shared" si="1"/>
        <v>68.711769825167252</v>
      </c>
      <c r="AF21" s="701">
        <v>1</v>
      </c>
      <c r="AG21" s="702">
        <v>0</v>
      </c>
      <c r="AH21" s="709">
        <f t="shared" ref="AH21" si="34">AD21*AF21</f>
        <v>1035.9927015759845</v>
      </c>
      <c r="AI21" s="710">
        <f t="shared" ref="AI21" si="35">AH21*SQRT(IF(AD21&gt;0,(AE21/AD21)^2,0)+IF(AF21&gt;0,(AG21/AF21/100)^2,0))</f>
        <v>68.711769825167252</v>
      </c>
      <c r="AJ21" s="709">
        <v>0</v>
      </c>
      <c r="AK21" s="710"/>
      <c r="AL21" s="701">
        <f>'Part KIU-KU'!H$25</f>
        <v>0.90680879999999997</v>
      </c>
      <c r="AM21" s="702">
        <v>0</v>
      </c>
      <c r="AN21" s="709">
        <f t="shared" ref="AN21" si="36">AL21*AJ21</f>
        <v>0</v>
      </c>
      <c r="AO21" s="704"/>
      <c r="AP21" s="711">
        <f t="shared" ref="AP21" si="37">AH21-AN21</f>
        <v>1035.9927015759845</v>
      </c>
      <c r="AQ21" s="751">
        <f t="shared" ref="AQ21" si="38">SQRT(AO21^2+AI21^2)</f>
        <v>68.711769825167252</v>
      </c>
      <c r="AR21" s="711">
        <v>1</v>
      </c>
      <c r="AS21" s="711">
        <f t="shared" ref="AS21" si="39">AP21*AR21</f>
        <v>1035.9927015759845</v>
      </c>
      <c r="AT21" s="751">
        <f t="shared" ref="AT21" si="40">AQ21</f>
        <v>68.711769825167252</v>
      </c>
      <c r="AU21" s="845">
        <f t="shared" ref="AU21" si="41">AP21*AB21</f>
        <v>0</v>
      </c>
      <c r="AV21" s="751">
        <f t="shared" ref="AV21" si="42">AU21*SQRT(IF(AB21&gt;0,(AC21/AB21/100)^2,0)+IF(AP21&gt;0,(AQ21/AP21),0))</f>
        <v>0</v>
      </c>
      <c r="AW21" s="845">
        <f t="shared" ref="AW21" si="43">AS21*AB21</f>
        <v>0</v>
      </c>
      <c r="AX21" s="751">
        <f t="shared" ref="AX21" si="44">AW21*SQRT(IF(AS21&gt;0,(AT21/AS21)^2,0)+IF(AB21&gt;0,(AC21/AB21/100)^2,0))</f>
        <v>0</v>
      </c>
      <c r="AY21" s="708">
        <f t="shared" ref="AY21" si="45">IF(AU21&gt;0,AW21/AU21,0)</f>
        <v>0</v>
      </c>
      <c r="AZ21" s="752"/>
      <c r="BA21" s="643"/>
      <c r="BB21" s="566"/>
      <c r="BC21" s="566"/>
      <c r="BD21" s="1583"/>
      <c r="BE21" s="1593"/>
      <c r="BF21" s="1594"/>
      <c r="BG21" s="1605"/>
      <c r="BH21" s="1605"/>
      <c r="BI21" s="774" t="s">
        <v>511</v>
      </c>
      <c r="BJ21" s="765">
        <f t="shared" si="9"/>
        <v>0</v>
      </c>
      <c r="BK21" s="766">
        <f t="shared" si="10"/>
        <v>1035.9927015759845</v>
      </c>
      <c r="BL21" s="767">
        <f t="shared" si="11"/>
        <v>1</v>
      </c>
      <c r="BM21" s="766">
        <f t="shared" si="12"/>
        <v>1035.9927015759845</v>
      </c>
      <c r="BN21" s="766">
        <f t="shared" si="13"/>
        <v>0</v>
      </c>
      <c r="BO21" s="766">
        <f t="shared" si="14"/>
        <v>0.90680879999999997</v>
      </c>
      <c r="BP21" s="766">
        <f t="shared" si="15"/>
        <v>0</v>
      </c>
      <c r="BQ21" s="766">
        <f t="shared" si="16"/>
        <v>1035.9927015759845</v>
      </c>
      <c r="BR21" s="643"/>
      <c r="BS21" s="643"/>
      <c r="BT21" s="643"/>
      <c r="BU21" s="1583"/>
      <c r="BV21" s="1593"/>
      <c r="BW21" s="1594"/>
      <c r="BX21" s="1605"/>
      <c r="BY21" s="1605"/>
      <c r="BZ21" s="774" t="s">
        <v>511</v>
      </c>
      <c r="CA21" s="765">
        <f t="shared" si="22"/>
        <v>0</v>
      </c>
      <c r="CB21" s="781">
        <f t="shared" si="23"/>
        <v>1035.9927015759845</v>
      </c>
      <c r="CC21" s="782">
        <f t="shared" si="24"/>
        <v>1</v>
      </c>
      <c r="CD21" s="783">
        <f t="shared" si="25"/>
        <v>1035.9927015759845</v>
      </c>
      <c r="CE21" s="782">
        <f t="shared" si="26"/>
        <v>0</v>
      </c>
      <c r="CF21" s="782">
        <f t="shared" si="27"/>
        <v>0</v>
      </c>
      <c r="CI21" s="1583"/>
      <c r="CJ21" s="1593"/>
      <c r="CK21" s="1594"/>
      <c r="CL21" s="1605"/>
      <c r="CM21" s="1605"/>
      <c r="CN21" s="774" t="s">
        <v>511</v>
      </c>
      <c r="CO21" s="765">
        <f t="shared" si="28"/>
        <v>0</v>
      </c>
      <c r="CP21" s="825">
        <f t="shared" si="28"/>
        <v>0</v>
      </c>
      <c r="CQ21" s="765">
        <f>'SCE REF NTG'!AB21</f>
        <v>0</v>
      </c>
      <c r="CR21" s="825">
        <f>'SCE REF NTG'!AC21</f>
        <v>0</v>
      </c>
      <c r="CS21" s="765">
        <f>'SDGE REF NTG'!AB21</f>
        <v>0</v>
      </c>
      <c r="CT21" s="825">
        <f>'SDGE REF NTG'!AC21</f>
        <v>0</v>
      </c>
    </row>
    <row r="22" spans="1:98" s="643" customFormat="1" ht="15.75" customHeight="1" thickBot="1">
      <c r="A22" s="60"/>
      <c r="B22" s="218"/>
      <c r="C22" s="219"/>
      <c r="D22" s="218"/>
      <c r="E22" s="51"/>
      <c r="F22" s="69"/>
      <c r="G22" s="229"/>
      <c r="H22" s="52"/>
      <c r="I22" s="52"/>
      <c r="J22" s="52"/>
      <c r="K22" s="52"/>
      <c r="L22" s="59"/>
      <c r="M22" s="214" t="s">
        <v>60</v>
      </c>
      <c r="N22" s="211">
        <f>'P2P CF if Unit not available'!E87/100</f>
        <v>0.22006100000000001</v>
      </c>
      <c r="O22" s="236">
        <f>'P2P CF if Unit not available'!F87</f>
        <v>3.4077999999999999</v>
      </c>
      <c r="P22" s="48" t="s">
        <v>72</v>
      </c>
      <c r="Q22" s="74">
        <f>'P2P CF if Unit not available'!E50/100</f>
        <v>0.17400400000000002</v>
      </c>
      <c r="R22" s="237">
        <f>'P2P CF if Unit not available'!F50</f>
        <v>9.2995999999999999</v>
      </c>
      <c r="S22" s="213" t="s">
        <v>67</v>
      </c>
      <c r="T22" s="213"/>
      <c r="U22" s="213"/>
      <c r="V22" s="1782"/>
      <c r="W22" s="1782"/>
      <c r="X22" s="1786" t="s">
        <v>343</v>
      </c>
      <c r="Y22" s="1787" t="s">
        <v>344</v>
      </c>
      <c r="Z22" s="1787"/>
      <c r="AA22" s="1787"/>
      <c r="AB22" s="746">
        <f>B16*F17*N22*Q22</f>
        <v>7.3134331033627075E-3</v>
      </c>
      <c r="AC22" s="756">
        <f>100*AB22*SQRT(IF($B$16&gt;0,($C$16/$B$16/100)^2,0)+IF($F$17&gt;0,($G$17/$F$17/100)^2,0)+IF($N$22&gt;0,($O$22/$N$22/100)^2,0)+IF(Q22&gt;0,(R22/Q22/100)^2,0))</f>
        <v>0.42673861878396124</v>
      </c>
      <c r="AD22" s="703">
        <f t="shared" si="0"/>
        <v>1035.9927015759845</v>
      </c>
      <c r="AE22" s="704">
        <f t="shared" si="1"/>
        <v>68.711769825167252</v>
      </c>
      <c r="AF22" s="701">
        <f>'Part KIU-KU'!H$25</f>
        <v>0.90680879999999997</v>
      </c>
      <c r="AG22" s="702">
        <f>'Part KIU-KU'!$J$25</f>
        <v>3.5229200000000002E-2</v>
      </c>
      <c r="AH22" s="709">
        <f t="shared" si="2"/>
        <v>939.4472985248766</v>
      </c>
      <c r="AI22" s="710">
        <f t="shared" si="17"/>
        <v>62.309506444223977</v>
      </c>
      <c r="AJ22" s="709">
        <f>$AB$5</f>
        <v>791</v>
      </c>
      <c r="AK22" s="710">
        <f>$AC$5</f>
        <v>98</v>
      </c>
      <c r="AL22" s="701">
        <f>'Part KIU-KU'!H$25</f>
        <v>0.90680879999999997</v>
      </c>
      <c r="AM22" s="702">
        <f>'Part KIU-KU'!$J$25</f>
        <v>3.5229200000000002E-2</v>
      </c>
      <c r="AN22" s="709">
        <f t="shared" si="18"/>
        <v>717.28576079999993</v>
      </c>
      <c r="AO22" s="704">
        <f t="shared" si="19"/>
        <v>88.867699303641345</v>
      </c>
      <c r="AP22" s="711">
        <f t="shared" si="20"/>
        <v>222.16153772487667</v>
      </c>
      <c r="AQ22" s="751">
        <f t="shared" si="3"/>
        <v>108.5354438551997</v>
      </c>
      <c r="AR22" s="711">
        <v>1</v>
      </c>
      <c r="AS22" s="711">
        <f t="shared" si="4"/>
        <v>222.16153772487667</v>
      </c>
      <c r="AT22" s="751">
        <f t="shared" si="21"/>
        <v>108.5354438551997</v>
      </c>
      <c r="AU22" s="845">
        <f t="shared" si="5"/>
        <v>1.6247635442910759</v>
      </c>
      <c r="AV22" s="751">
        <f t="shared" si="6"/>
        <v>1.4793512981206685</v>
      </c>
      <c r="AW22" s="845">
        <f t="shared" si="7"/>
        <v>1.6247635442910759</v>
      </c>
      <c r="AX22" s="751">
        <f t="shared" si="8"/>
        <v>1.2364718517422524</v>
      </c>
      <c r="AY22" s="708">
        <f t="shared" si="32"/>
        <v>1</v>
      </c>
      <c r="AZ22" s="752">
        <f t="shared" si="31"/>
        <v>1.186659570078793</v>
      </c>
      <c r="BA22" s="11"/>
      <c r="BB22" s="566"/>
      <c r="BC22" s="566"/>
      <c r="BD22" s="1583"/>
      <c r="BE22" s="1593"/>
      <c r="BF22" s="1592" t="s">
        <v>343</v>
      </c>
      <c r="BG22" s="1575" t="s">
        <v>344</v>
      </c>
      <c r="BH22" s="1575"/>
      <c r="BI22" s="1575"/>
      <c r="BJ22" s="765">
        <f t="shared" si="9"/>
        <v>7.3134331033627075E-3</v>
      </c>
      <c r="BK22" s="766">
        <f t="shared" si="10"/>
        <v>1035.9927015759845</v>
      </c>
      <c r="BL22" s="767">
        <f t="shared" si="11"/>
        <v>0.90680879999999997</v>
      </c>
      <c r="BM22" s="766">
        <f t="shared" si="12"/>
        <v>939.4472985248766</v>
      </c>
      <c r="BN22" s="766">
        <f t="shared" si="13"/>
        <v>791</v>
      </c>
      <c r="BO22" s="766">
        <f t="shared" si="14"/>
        <v>0.90680879999999997</v>
      </c>
      <c r="BP22" s="766">
        <f t="shared" si="15"/>
        <v>717.28576079999993</v>
      </c>
      <c r="BQ22" s="766">
        <f t="shared" si="16"/>
        <v>222.16153772487667</v>
      </c>
      <c r="BR22" s="11"/>
      <c r="BS22" s="11"/>
      <c r="BT22" s="11"/>
      <c r="BU22" s="1583"/>
      <c r="BV22" s="1593"/>
      <c r="BW22" s="1592" t="s">
        <v>343</v>
      </c>
      <c r="BX22" s="1575" t="s">
        <v>344</v>
      </c>
      <c r="BY22" s="1575"/>
      <c r="BZ22" s="1575"/>
      <c r="CA22" s="765">
        <f t="shared" si="22"/>
        <v>7.3134331033627075E-3</v>
      </c>
      <c r="CB22" s="781">
        <f t="shared" si="23"/>
        <v>222.16153772487667</v>
      </c>
      <c r="CC22" s="782">
        <f t="shared" si="24"/>
        <v>1</v>
      </c>
      <c r="CD22" s="783">
        <f t="shared" si="25"/>
        <v>222.16153772487667</v>
      </c>
      <c r="CE22" s="782">
        <f t="shared" si="26"/>
        <v>1.6247635442910759</v>
      </c>
      <c r="CF22" s="782">
        <f t="shared" si="27"/>
        <v>1.6247635442910759</v>
      </c>
      <c r="CG22"/>
      <c r="CH22"/>
      <c r="CI22" s="1583"/>
      <c r="CJ22" s="1593"/>
      <c r="CK22" s="1592" t="s">
        <v>343</v>
      </c>
      <c r="CL22" s="1575" t="s">
        <v>344</v>
      </c>
      <c r="CM22" s="1575"/>
      <c r="CN22" s="1575"/>
      <c r="CO22" s="765">
        <f t="shared" si="28"/>
        <v>7.3134331033627075E-3</v>
      </c>
      <c r="CP22" s="825">
        <f t="shared" si="28"/>
        <v>0.42673861878396124</v>
      </c>
      <c r="CQ22" s="765">
        <f>'SCE REF NTG'!AB22</f>
        <v>3.5473016961546575E-3</v>
      </c>
      <c r="CR22" s="825">
        <f>'SCE REF NTG'!AC22</f>
        <v>0.36611164999204648</v>
      </c>
      <c r="CS22" s="765">
        <f>'SDGE REF NTG'!AB22</f>
        <v>1.428270910385657E-2</v>
      </c>
      <c r="CT22" s="825">
        <f>'SDGE REF NTG'!AC22</f>
        <v>0.48443295490542432</v>
      </c>
    </row>
    <row r="23" spans="1:98" ht="18.75" customHeight="1" thickBot="1">
      <c r="A23" s="60"/>
      <c r="B23" s="218"/>
      <c r="C23" s="219"/>
      <c r="D23" s="218"/>
      <c r="E23" s="51"/>
      <c r="F23" s="69"/>
      <c r="G23" s="229"/>
      <c r="H23" s="52"/>
      <c r="I23" s="52"/>
      <c r="J23" s="52"/>
      <c r="K23" s="52"/>
      <c r="L23" s="59"/>
      <c r="M23" s="214"/>
      <c r="N23" s="211"/>
      <c r="O23" s="238"/>
      <c r="P23" s="48" t="s">
        <v>73</v>
      </c>
      <c r="Q23" s="74">
        <f>'P2P CF if Unit not available'!E51/100</f>
        <v>4.2625999999999997E-2</v>
      </c>
      <c r="R23" s="237">
        <f>'P2P CF if Unit not available'!F51</f>
        <v>4.2980999999999998</v>
      </c>
      <c r="S23" s="214"/>
      <c r="T23" s="214"/>
      <c r="U23" s="214"/>
      <c r="V23" s="1782"/>
      <c r="W23" s="1782"/>
      <c r="X23" s="1786"/>
      <c r="Y23" s="1787" t="s">
        <v>345</v>
      </c>
      <c r="Z23" s="1787"/>
      <c r="AA23" s="1787"/>
      <c r="AB23" s="746">
        <f>B16*F17*N22*Q23</f>
        <v>1.7915817996364378E-3</v>
      </c>
      <c r="AC23" s="756">
        <f>100*AB23*SQRT(IF($B$16&gt;0,($C$16/$B$16/100)^2,0)+IF($F$17&gt;0,($G$17/$F$17/100)^2,0)+IF($N$22&gt;0,($O$22/$N$22/100)^2,0)+IF(Q23&gt;0,(R23/Q23/100)^2,0))</f>
        <v>0.18545802610764725</v>
      </c>
      <c r="AD23" s="703">
        <f t="shared" si="0"/>
        <v>1035.9927015759845</v>
      </c>
      <c r="AE23" s="704">
        <f t="shared" si="1"/>
        <v>68.711769825167252</v>
      </c>
      <c r="AF23" s="701">
        <f>'Part KIU-KU'!H$25</f>
        <v>0.90680879999999997</v>
      </c>
      <c r="AG23" s="702">
        <f>'Part KIU-KU'!$J$25</f>
        <v>3.5229200000000002E-2</v>
      </c>
      <c r="AH23" s="709">
        <f t="shared" si="2"/>
        <v>939.4472985248766</v>
      </c>
      <c r="AI23" s="710">
        <f t="shared" si="17"/>
        <v>62.309506444223977</v>
      </c>
      <c r="AJ23" s="709">
        <f>$AB$6</f>
        <v>783</v>
      </c>
      <c r="AK23" s="710">
        <f>$AC$6</f>
        <v>106</v>
      </c>
      <c r="AL23" s="701">
        <f>'Part KIU-KU'!H$25</f>
        <v>0.90680879999999997</v>
      </c>
      <c r="AM23" s="702">
        <f>'Part KIU-KU'!$J$25</f>
        <v>3.5229200000000002E-2</v>
      </c>
      <c r="AN23" s="709">
        <f t="shared" si="18"/>
        <v>710.03129039999999</v>
      </c>
      <c r="AO23" s="704">
        <f t="shared" si="19"/>
        <v>96.122128600743167</v>
      </c>
      <c r="AP23" s="711">
        <f t="shared" si="20"/>
        <v>229.41600812487661</v>
      </c>
      <c r="AQ23" s="751">
        <f t="shared" si="3"/>
        <v>114.55102880402514</v>
      </c>
      <c r="AR23" s="711">
        <v>1</v>
      </c>
      <c r="AS23" s="711">
        <f t="shared" si="4"/>
        <v>229.41600812487661</v>
      </c>
      <c r="AT23" s="751">
        <f t="shared" si="21"/>
        <v>114.55102880402514</v>
      </c>
      <c r="AU23" s="845">
        <f t="shared" si="5"/>
        <v>0.4110175447017741</v>
      </c>
      <c r="AV23" s="751">
        <f t="shared" si="6"/>
        <v>0.51514772676859377</v>
      </c>
      <c r="AW23" s="845">
        <f t="shared" si="7"/>
        <v>0.4110175447017741</v>
      </c>
      <c r="AX23" s="751">
        <f t="shared" si="8"/>
        <v>0.47238057112274712</v>
      </c>
      <c r="AY23" s="708">
        <f t="shared" si="32"/>
        <v>1</v>
      </c>
      <c r="AZ23" s="752">
        <f t="shared" si="31"/>
        <v>1.7005173738499213</v>
      </c>
      <c r="BB23" s="566"/>
      <c r="BC23" s="566"/>
      <c r="BD23" s="1583"/>
      <c r="BE23" s="1593"/>
      <c r="BF23" s="1593"/>
      <c r="BG23" s="1575" t="s">
        <v>345</v>
      </c>
      <c r="BH23" s="1575"/>
      <c r="BI23" s="1575"/>
      <c r="BJ23" s="765">
        <f t="shared" si="9"/>
        <v>1.7915817996364378E-3</v>
      </c>
      <c r="BK23" s="766">
        <f t="shared" si="10"/>
        <v>1035.9927015759845</v>
      </c>
      <c r="BL23" s="767">
        <f t="shared" si="11"/>
        <v>0.90680879999999997</v>
      </c>
      <c r="BM23" s="766">
        <f t="shared" si="12"/>
        <v>939.4472985248766</v>
      </c>
      <c r="BN23" s="766">
        <f t="shared" si="13"/>
        <v>783</v>
      </c>
      <c r="BO23" s="766">
        <f t="shared" si="14"/>
        <v>0.90680879999999997</v>
      </c>
      <c r="BP23" s="766">
        <f t="shared" si="15"/>
        <v>710.03129039999999</v>
      </c>
      <c r="BQ23" s="766">
        <f t="shared" si="16"/>
        <v>229.41600812487661</v>
      </c>
      <c r="BU23" s="1583"/>
      <c r="BV23" s="1593"/>
      <c r="BW23" s="1593"/>
      <c r="BX23" s="1575" t="s">
        <v>345</v>
      </c>
      <c r="BY23" s="1575"/>
      <c r="BZ23" s="1575"/>
      <c r="CA23" s="765">
        <f t="shared" si="22"/>
        <v>1.7915817996364378E-3</v>
      </c>
      <c r="CB23" s="781">
        <f t="shared" si="23"/>
        <v>229.41600812487661</v>
      </c>
      <c r="CC23" s="782">
        <f t="shared" si="24"/>
        <v>1</v>
      </c>
      <c r="CD23" s="783">
        <f t="shared" si="25"/>
        <v>229.41600812487661</v>
      </c>
      <c r="CE23" s="782">
        <f t="shared" si="26"/>
        <v>0.4110175447017741</v>
      </c>
      <c r="CF23" s="782">
        <f t="shared" si="27"/>
        <v>0.4110175447017741</v>
      </c>
      <c r="CI23" s="1583"/>
      <c r="CJ23" s="1593"/>
      <c r="CK23" s="1593"/>
      <c r="CL23" s="1575" t="s">
        <v>345</v>
      </c>
      <c r="CM23" s="1575"/>
      <c r="CN23" s="1575"/>
      <c r="CO23" s="765">
        <f t="shared" si="28"/>
        <v>1.7915817996364378E-3</v>
      </c>
      <c r="CP23" s="825">
        <f t="shared" si="28"/>
        <v>0.18545802610764725</v>
      </c>
      <c r="CQ23" s="765">
        <f>'SCE REF NTG'!AB23</f>
        <v>3.5473016961546575E-3</v>
      </c>
      <c r="CR23" s="825">
        <f>'SCE REF NTG'!AC23</f>
        <v>0.36611164999204648</v>
      </c>
      <c r="CS23" s="765">
        <f>'SDGE REF NTG'!AB23</f>
        <v>8.5696254623139415E-3</v>
      </c>
      <c r="CT23" s="825">
        <f>'SDGE REF NTG'!AC23</f>
        <v>0.29065977294325457</v>
      </c>
    </row>
    <row r="24" spans="1:98" ht="18.75" customHeight="1" thickBot="1">
      <c r="A24" s="60"/>
      <c r="B24" s="218"/>
      <c r="C24" s="219"/>
      <c r="D24" s="218"/>
      <c r="E24" s="51"/>
      <c r="F24" s="69"/>
      <c r="G24" s="229"/>
      <c r="H24" s="52"/>
      <c r="I24" s="52"/>
      <c r="J24" s="52"/>
      <c r="K24" s="52"/>
      <c r="L24" s="59"/>
      <c r="M24" s="214"/>
      <c r="N24" s="211"/>
      <c r="O24" s="238"/>
      <c r="P24" s="48" t="s">
        <v>74</v>
      </c>
      <c r="Q24" s="74">
        <f>'P2P CF if Unit not available'!E52/100</f>
        <v>0.12787899999999999</v>
      </c>
      <c r="R24" s="237">
        <f>'P2P CF if Unit not available'!F52</f>
        <v>7.1764999999999999</v>
      </c>
      <c r="S24" s="214"/>
      <c r="T24" s="214"/>
      <c r="U24" s="214"/>
      <c r="V24" s="1782"/>
      <c r="W24" s="1782"/>
      <c r="X24" s="1786"/>
      <c r="Y24" s="1787" t="s">
        <v>346</v>
      </c>
      <c r="Z24" s="1787"/>
      <c r="AA24" s="1787"/>
      <c r="AB24" s="746">
        <f>B16*F17*N22*Q24</f>
        <v>5.3747874291678321E-3</v>
      </c>
      <c r="AC24" s="756">
        <f>100*AB24*SQRT(IF($B$16&gt;0,($C$16/$B$16/100)^2,0)+IF($F$17&gt;0,($G$17/$F$17/100)^2,0)+IF($N$22&gt;0,($O$22/$N$22/100)^2,0)+IF(Q24&gt;0,(R24/Q24/100)^2,0))</f>
        <v>0.32683708701175684</v>
      </c>
      <c r="AD24" s="703">
        <f t="shared" si="0"/>
        <v>1035.9927015759845</v>
      </c>
      <c r="AE24" s="704">
        <f t="shared" si="1"/>
        <v>68.711769825167252</v>
      </c>
      <c r="AF24" s="701">
        <f>'Part KIU-KU'!H$25</f>
        <v>0.90680879999999997</v>
      </c>
      <c r="AG24" s="702">
        <f>'Part KIU-KU'!$J$25</f>
        <v>3.5229200000000002E-2</v>
      </c>
      <c r="AH24" s="709">
        <f t="shared" si="2"/>
        <v>939.4472985248766</v>
      </c>
      <c r="AI24" s="710">
        <f t="shared" si="17"/>
        <v>62.309506444223977</v>
      </c>
      <c r="AJ24" s="709">
        <f>AB7</f>
        <v>452</v>
      </c>
      <c r="AK24" s="710"/>
      <c r="AL24" s="701">
        <f>'Part KIU-KU'!H$25</f>
        <v>0.90680879999999997</v>
      </c>
      <c r="AM24" s="702">
        <f>'Part KIU-KU'!$J$25</f>
        <v>3.5229200000000002E-2</v>
      </c>
      <c r="AN24" s="709">
        <f t="shared" si="18"/>
        <v>409.8775776</v>
      </c>
      <c r="AO24" s="704">
        <f t="shared" si="19"/>
        <v>0.159235984</v>
      </c>
      <c r="AP24" s="711">
        <f t="shared" si="20"/>
        <v>529.56972092487661</v>
      </c>
      <c r="AQ24" s="751">
        <f t="shared" si="3"/>
        <v>62.309709912832929</v>
      </c>
      <c r="AR24" s="711">
        <v>1</v>
      </c>
      <c r="AS24" s="711">
        <f t="shared" si="4"/>
        <v>529.56972092487661</v>
      </c>
      <c r="AT24" s="751">
        <f t="shared" si="21"/>
        <v>62.309709912832929</v>
      </c>
      <c r="AU24" s="845">
        <f t="shared" si="5"/>
        <v>2.8463246788949439</v>
      </c>
      <c r="AV24" s="751">
        <f t="shared" si="6"/>
        <v>1.9872120174496539</v>
      </c>
      <c r="AW24" s="845">
        <f t="shared" si="7"/>
        <v>2.8463246788949439</v>
      </c>
      <c r="AX24" s="751">
        <f t="shared" si="8"/>
        <v>1.7629328776363722</v>
      </c>
      <c r="AY24" s="708">
        <f t="shared" si="32"/>
        <v>1</v>
      </c>
      <c r="AZ24" s="752">
        <f t="shared" si="31"/>
        <v>0.93330565048974701</v>
      </c>
      <c r="BB24" s="566"/>
      <c r="BC24" s="566"/>
      <c r="BD24" s="1583"/>
      <c r="BE24" s="1593"/>
      <c r="BF24" s="1593"/>
      <c r="BG24" s="1575" t="s">
        <v>346</v>
      </c>
      <c r="BH24" s="1575"/>
      <c r="BI24" s="1575"/>
      <c r="BJ24" s="765">
        <f t="shared" si="9"/>
        <v>5.3747874291678321E-3</v>
      </c>
      <c r="BK24" s="766">
        <f t="shared" si="10"/>
        <v>1035.9927015759845</v>
      </c>
      <c r="BL24" s="767">
        <f t="shared" si="11"/>
        <v>0.90680879999999997</v>
      </c>
      <c r="BM24" s="766">
        <f t="shared" si="12"/>
        <v>939.4472985248766</v>
      </c>
      <c r="BN24" s="766">
        <f t="shared" si="13"/>
        <v>452</v>
      </c>
      <c r="BO24" s="766">
        <f t="shared" si="14"/>
        <v>0.90680879999999997</v>
      </c>
      <c r="BP24" s="766">
        <f t="shared" si="15"/>
        <v>409.8775776</v>
      </c>
      <c r="BQ24" s="766">
        <f t="shared" si="16"/>
        <v>529.56972092487661</v>
      </c>
      <c r="BU24" s="1583"/>
      <c r="BV24" s="1593"/>
      <c r="BW24" s="1593"/>
      <c r="BX24" s="1575" t="s">
        <v>346</v>
      </c>
      <c r="BY24" s="1575"/>
      <c r="BZ24" s="1575"/>
      <c r="CA24" s="765">
        <f t="shared" si="22"/>
        <v>5.3747874291678321E-3</v>
      </c>
      <c r="CB24" s="781">
        <f t="shared" si="23"/>
        <v>529.56972092487661</v>
      </c>
      <c r="CC24" s="782">
        <f t="shared" si="24"/>
        <v>1</v>
      </c>
      <c r="CD24" s="783">
        <f t="shared" si="25"/>
        <v>529.56972092487661</v>
      </c>
      <c r="CE24" s="782">
        <f t="shared" si="26"/>
        <v>2.8463246788949439</v>
      </c>
      <c r="CF24" s="782">
        <f t="shared" si="27"/>
        <v>2.8463246788949439</v>
      </c>
      <c r="CI24" s="1583"/>
      <c r="CJ24" s="1593"/>
      <c r="CK24" s="1593"/>
      <c r="CL24" s="1575" t="s">
        <v>346</v>
      </c>
      <c r="CM24" s="1575"/>
      <c r="CN24" s="1575"/>
      <c r="CO24" s="765">
        <f t="shared" si="28"/>
        <v>5.3747874291678321E-3</v>
      </c>
      <c r="CP24" s="825">
        <f t="shared" si="28"/>
        <v>0.32683708701175684</v>
      </c>
      <c r="CQ24" s="765">
        <f>'SCE REF NTG'!AB24</f>
        <v>7.0945579088343485E-3</v>
      </c>
      <c r="CR24" s="825">
        <f>'SCE REF NTG'!AC24</f>
        <v>0.5114746703630243</v>
      </c>
      <c r="CS24" s="765">
        <f>'SDGE REF NTG'!AB24</f>
        <v>1.9995792745399199E-2</v>
      </c>
      <c r="CT24" s="825">
        <f>'SDGE REF NTG'!AC24</f>
        <v>0.67820613686759412</v>
      </c>
    </row>
    <row r="25" spans="1:98" ht="18.75" customHeight="1" thickBot="1">
      <c r="A25" s="60"/>
      <c r="B25" s="218"/>
      <c r="C25" s="219"/>
      <c r="D25" s="218"/>
      <c r="E25" s="53"/>
      <c r="F25" s="70"/>
      <c r="G25" s="239"/>
      <c r="H25" s="54"/>
      <c r="I25" s="54"/>
      <c r="J25" s="54"/>
      <c r="K25" s="54"/>
      <c r="L25" s="58"/>
      <c r="M25" s="215"/>
      <c r="N25" s="212"/>
      <c r="O25" s="240"/>
      <c r="P25" s="49" t="s">
        <v>76</v>
      </c>
      <c r="Q25" s="75">
        <f>'P2P CF if Unit not available'!E53/100</f>
        <v>0.65549000000000002</v>
      </c>
      <c r="R25" s="241">
        <f>'P2P CF if Unit not available'!F53</f>
        <v>11.005699999999999</v>
      </c>
      <c r="S25" s="215"/>
      <c r="T25" s="215"/>
      <c r="U25" s="215"/>
      <c r="V25" s="1782"/>
      <c r="W25" s="1782"/>
      <c r="X25" s="1786"/>
      <c r="Y25" s="1787" t="s">
        <v>347</v>
      </c>
      <c r="Z25" s="1787"/>
      <c r="AA25" s="1787"/>
      <c r="AB25" s="746">
        <f>B16*F17*N22*Q25</f>
        <v>2.7550414156704565E-2</v>
      </c>
      <c r="AC25" s="756">
        <f>100*AB25*SQRT(IF($B$16&gt;0,($C$16/$B$16/100)^2,0)+IF($F$17&gt;0,($G$17/$F$17/100)^2,0)+IF($N$22&gt;0,($O$22/$N$22/100)^2,0)+IF(Q25&gt;0,(R25/Q25/100)^2,0))</f>
        <v>0.7938552311718694</v>
      </c>
      <c r="AD25" s="703">
        <f t="shared" si="0"/>
        <v>1035.9927015759845</v>
      </c>
      <c r="AE25" s="704">
        <f t="shared" si="1"/>
        <v>68.711769825167252</v>
      </c>
      <c r="AF25" s="701">
        <f>'Part KIU-KU'!H$25</f>
        <v>0.90680879999999997</v>
      </c>
      <c r="AG25" s="702">
        <f>'Part KIU-KU'!$J$25</f>
        <v>3.5229200000000002E-2</v>
      </c>
      <c r="AH25" s="709">
        <f t="shared" si="2"/>
        <v>939.4472985248766</v>
      </c>
      <c r="AI25" s="710">
        <f t="shared" si="17"/>
        <v>62.309506444223977</v>
      </c>
      <c r="AJ25" s="709">
        <v>0</v>
      </c>
      <c r="AK25" s="710"/>
      <c r="AL25" s="701">
        <f>'Part KIU-KU'!H$25</f>
        <v>0.90680879999999997</v>
      </c>
      <c r="AM25" s="702">
        <f>'Part KIU-KU'!$J$25</f>
        <v>3.5229200000000002E-2</v>
      </c>
      <c r="AN25" s="709">
        <f t="shared" si="18"/>
        <v>0</v>
      </c>
      <c r="AO25" s="704">
        <f t="shared" si="19"/>
        <v>0</v>
      </c>
      <c r="AP25" s="711">
        <f t="shared" si="20"/>
        <v>939.4472985248766</v>
      </c>
      <c r="AQ25" s="751">
        <f t="shared" si="3"/>
        <v>62.309506444223977</v>
      </c>
      <c r="AR25" s="711">
        <v>1</v>
      </c>
      <c r="AS25" s="711">
        <f t="shared" si="4"/>
        <v>939.4472985248766</v>
      </c>
      <c r="AT25" s="751">
        <f t="shared" si="21"/>
        <v>62.309506444223977</v>
      </c>
      <c r="AU25" s="845">
        <f t="shared" si="5"/>
        <v>25.882162152757619</v>
      </c>
      <c r="AV25" s="751">
        <f t="shared" si="6"/>
        <v>10.002511339932729</v>
      </c>
      <c r="AW25" s="845">
        <f t="shared" si="7"/>
        <v>25.882162152757619</v>
      </c>
      <c r="AX25" s="751">
        <f t="shared" si="8"/>
        <v>7.6528717398831736</v>
      </c>
      <c r="AY25" s="708">
        <f t="shared" si="32"/>
        <v>1</v>
      </c>
      <c r="AZ25" s="752">
        <f t="shared" si="31"/>
        <v>0.48660198089960272</v>
      </c>
      <c r="BB25" s="566"/>
      <c r="BC25" s="566"/>
      <c r="BD25" s="1583"/>
      <c r="BE25" s="1594"/>
      <c r="BF25" s="1594"/>
      <c r="BG25" s="1575" t="s">
        <v>347</v>
      </c>
      <c r="BH25" s="1575"/>
      <c r="BI25" s="1575"/>
      <c r="BJ25" s="765">
        <f t="shared" si="9"/>
        <v>2.7550414156704565E-2</v>
      </c>
      <c r="BK25" s="766">
        <f t="shared" si="10"/>
        <v>1035.9927015759845</v>
      </c>
      <c r="BL25" s="767">
        <f t="shared" si="11"/>
        <v>0.90680879999999997</v>
      </c>
      <c r="BM25" s="766">
        <f t="shared" si="12"/>
        <v>939.4472985248766</v>
      </c>
      <c r="BN25" s="766">
        <f t="shared" si="13"/>
        <v>0</v>
      </c>
      <c r="BO25" s="766">
        <f t="shared" si="14"/>
        <v>0.90680879999999997</v>
      </c>
      <c r="BP25" s="766">
        <f t="shared" si="15"/>
        <v>0</v>
      </c>
      <c r="BQ25" s="766">
        <f t="shared" si="16"/>
        <v>939.4472985248766</v>
      </c>
      <c r="BU25" s="1583"/>
      <c r="BV25" s="1594"/>
      <c r="BW25" s="1594"/>
      <c r="BX25" s="1575" t="s">
        <v>347</v>
      </c>
      <c r="BY25" s="1575"/>
      <c r="BZ25" s="1575"/>
      <c r="CA25" s="765">
        <f t="shared" si="22"/>
        <v>2.7550414156704565E-2</v>
      </c>
      <c r="CB25" s="781">
        <f t="shared" si="23"/>
        <v>939.4472985248766</v>
      </c>
      <c r="CC25" s="782">
        <f t="shared" si="24"/>
        <v>1</v>
      </c>
      <c r="CD25" s="783">
        <f t="shared" si="25"/>
        <v>939.4472985248766</v>
      </c>
      <c r="CE25" s="782">
        <f t="shared" si="26"/>
        <v>25.882162152757619</v>
      </c>
      <c r="CF25" s="782">
        <f t="shared" si="27"/>
        <v>25.882162152757619</v>
      </c>
      <c r="CI25" s="1583"/>
      <c r="CJ25" s="1594"/>
      <c r="CK25" s="1594"/>
      <c r="CL25" s="1575" t="s">
        <v>347</v>
      </c>
      <c r="CM25" s="1575"/>
      <c r="CN25" s="1575"/>
      <c r="CO25" s="765">
        <f t="shared" si="28"/>
        <v>2.7550414156704565E-2</v>
      </c>
      <c r="CP25" s="825">
        <f t="shared" si="28"/>
        <v>0.7938552311718694</v>
      </c>
      <c r="CQ25" s="765">
        <f>'SCE REF NTG'!AB25</f>
        <v>3.1294313665899423E-2</v>
      </c>
      <c r="CR25" s="825">
        <f>'SCE REF NTG'!AC25</f>
        <v>0.95295644142030911</v>
      </c>
      <c r="CS25" s="765">
        <f>'SDGE REF NTG'!AB25</f>
        <v>8.2839712802368112E-2</v>
      </c>
      <c r="CT25" s="825">
        <f>'SDGE REF NTG'!AC25</f>
        <v>2.809711138451461</v>
      </c>
    </row>
    <row r="26" spans="1:98" ht="26.25" customHeight="1" thickBot="1">
      <c r="A26" s="60"/>
      <c r="B26" s="218"/>
      <c r="C26" s="219"/>
      <c r="D26" s="218"/>
      <c r="E26" s="242" t="s">
        <v>61</v>
      </c>
      <c r="F26" s="169">
        <f>'Discarder Disposition'!H15/100</f>
        <v>0.56439700000000004</v>
      </c>
      <c r="G26" s="243">
        <f>'Discarder Disposition'!I15</f>
        <v>4.5864000000000003</v>
      </c>
      <c r="H26" s="231" t="s">
        <v>64</v>
      </c>
      <c r="I26" s="55" t="s">
        <v>54</v>
      </c>
      <c r="J26" s="64">
        <f>SecMktProportions!D6</f>
        <v>42</v>
      </c>
      <c r="K26" s="301">
        <f>SecMktProportions!G6</f>
        <v>0.33073000000000002</v>
      </c>
      <c r="L26" s="61" t="s">
        <v>65</v>
      </c>
      <c r="M26" s="201" t="s">
        <v>59</v>
      </c>
      <c r="N26" s="195">
        <f>'Ret CF if Unit not available'!E82/100</f>
        <v>0.94352400000000003</v>
      </c>
      <c r="O26" s="244">
        <f>'Ret CF if Unit not available'!F82</f>
        <v>3.2296999999999998</v>
      </c>
      <c r="P26" s="93" t="s">
        <v>77</v>
      </c>
      <c r="Q26" s="94">
        <f>'Ret CF if Unit not available'!E14/100</f>
        <v>0.50974600000000003</v>
      </c>
      <c r="R26" s="245">
        <f>'Ret CF if Unit not available'!F14</f>
        <v>5.0826000000000002</v>
      </c>
      <c r="S26" s="587" t="s">
        <v>67</v>
      </c>
      <c r="T26" s="201"/>
      <c r="U26" s="201"/>
      <c r="V26" s="1782"/>
      <c r="W26" s="1748" t="s">
        <v>88</v>
      </c>
      <c r="X26" s="1748" t="s">
        <v>348</v>
      </c>
      <c r="Y26" s="1748" t="s">
        <v>342</v>
      </c>
      <c r="Z26" s="1750" t="s">
        <v>345</v>
      </c>
      <c r="AA26" s="1750"/>
      <c r="AB26" s="747">
        <f>B16*F26*J26*N26*Q26</f>
        <v>9.7879601784636243</v>
      </c>
      <c r="AC26" s="757">
        <f>100*AB26*SQRT(IF($B$16&gt;0,($C$16/$B$16/100)^2,0)+IF($F$26&gt;0,($G$26/$F$26/100)^2,0)+IF($J$26&gt;0,($K$26/$J$26/100)^2,0)+IF($N$26&gt;0,($O$26/$N$26/100)^2,0)+IF(Q26&gt;0,(R26/Q26/100)^2,0))</f>
        <v>132.89553585555919</v>
      </c>
      <c r="AD26" s="703">
        <f t="shared" si="0"/>
        <v>1035.9927015759845</v>
      </c>
      <c r="AE26" s="704">
        <f t="shared" si="1"/>
        <v>68.711769825167252</v>
      </c>
      <c r="AF26" s="701">
        <v>1</v>
      </c>
      <c r="AG26" s="702">
        <v>0</v>
      </c>
      <c r="AH26" s="709">
        <f t="shared" ref="AH26:AH35" si="46">AD26*AF26</f>
        <v>1035.9927015759845</v>
      </c>
      <c r="AI26" s="710">
        <f t="shared" si="17"/>
        <v>68.711769825167252</v>
      </c>
      <c r="AJ26" s="709">
        <f>$AB$6</f>
        <v>783</v>
      </c>
      <c r="AK26" s="710">
        <f>$AC$6</f>
        <v>106</v>
      </c>
      <c r="AL26" s="701">
        <v>1</v>
      </c>
      <c r="AM26" s="702">
        <v>0</v>
      </c>
      <c r="AN26" s="709">
        <f t="shared" si="18"/>
        <v>783</v>
      </c>
      <c r="AO26" s="704">
        <f t="shared" si="19"/>
        <v>106.00000000000001</v>
      </c>
      <c r="AP26" s="711">
        <f t="shared" si="20"/>
        <v>252.99270157598448</v>
      </c>
      <c r="AQ26" s="751">
        <f t="shared" si="3"/>
        <v>126.32223601768126</v>
      </c>
      <c r="AR26" s="711">
        <v>1</v>
      </c>
      <c r="AS26" s="711">
        <f t="shared" si="4"/>
        <v>252.99270157598448</v>
      </c>
      <c r="AT26" s="751">
        <f t="shared" si="21"/>
        <v>126.32223601768126</v>
      </c>
      <c r="AU26" s="845">
        <f t="shared" si="5"/>
        <v>2476.2824884676675</v>
      </c>
      <c r="AV26" s="751">
        <f t="shared" si="6"/>
        <v>1781.7992404563263</v>
      </c>
      <c r="AW26" s="845">
        <f t="shared" si="7"/>
        <v>2476.2824884676675</v>
      </c>
      <c r="AX26" s="751">
        <f t="shared" si="8"/>
        <v>1281.3343423995179</v>
      </c>
      <c r="AY26" s="708">
        <f t="shared" si="32"/>
        <v>1</v>
      </c>
      <c r="AZ26" s="752">
        <f t="shared" si="31"/>
        <v>0.88628068919316649</v>
      </c>
      <c r="BB26" s="566"/>
      <c r="BC26" s="566"/>
      <c r="BD26" s="1583"/>
      <c r="BE26" s="1592" t="s">
        <v>88</v>
      </c>
      <c r="BF26" s="1583" t="s">
        <v>348</v>
      </c>
      <c r="BG26" s="1592" t="s">
        <v>342</v>
      </c>
      <c r="BH26" s="1584" t="s">
        <v>345</v>
      </c>
      <c r="BI26" s="1586"/>
      <c r="BJ26" s="765">
        <f t="shared" si="9"/>
        <v>9.7879601784636243</v>
      </c>
      <c r="BK26" s="766">
        <f t="shared" si="10"/>
        <v>1035.9927015759845</v>
      </c>
      <c r="BL26" s="767">
        <f t="shared" si="11"/>
        <v>1</v>
      </c>
      <c r="BM26" s="766">
        <f t="shared" si="12"/>
        <v>1035.9927015759845</v>
      </c>
      <c r="BN26" s="766">
        <f t="shared" si="13"/>
        <v>783</v>
      </c>
      <c r="BO26" s="766">
        <f t="shared" si="14"/>
        <v>1</v>
      </c>
      <c r="BP26" s="766">
        <f t="shared" si="15"/>
        <v>783</v>
      </c>
      <c r="BQ26" s="766">
        <f t="shared" si="16"/>
        <v>252.99270157598448</v>
      </c>
      <c r="BU26" s="1583"/>
      <c r="BV26" s="1592" t="s">
        <v>88</v>
      </c>
      <c r="BW26" s="1583" t="s">
        <v>348</v>
      </c>
      <c r="BX26" s="1592" t="s">
        <v>342</v>
      </c>
      <c r="BY26" s="1584" t="s">
        <v>345</v>
      </c>
      <c r="BZ26" s="1586"/>
      <c r="CA26" s="765">
        <f t="shared" si="22"/>
        <v>9.7879601784636243</v>
      </c>
      <c r="CB26" s="781">
        <f t="shared" si="23"/>
        <v>252.99270157598448</v>
      </c>
      <c r="CC26" s="782">
        <f t="shared" si="24"/>
        <v>1</v>
      </c>
      <c r="CD26" s="783">
        <f t="shared" si="25"/>
        <v>252.99270157598448</v>
      </c>
      <c r="CE26" s="782">
        <f t="shared" si="26"/>
        <v>2476.2824884676675</v>
      </c>
      <c r="CF26" s="782">
        <f t="shared" si="27"/>
        <v>2476.2824884676675</v>
      </c>
      <c r="CI26" s="1583"/>
      <c r="CJ26" s="1592" t="s">
        <v>88</v>
      </c>
      <c r="CK26" s="1583" t="s">
        <v>348</v>
      </c>
      <c r="CL26" s="1592" t="s">
        <v>342</v>
      </c>
      <c r="CM26" s="1584" t="s">
        <v>345</v>
      </c>
      <c r="CN26" s="1586"/>
      <c r="CO26" s="765">
        <f t="shared" si="28"/>
        <v>9.7879601784636243</v>
      </c>
      <c r="CP26" s="825">
        <f t="shared" si="28"/>
        <v>132.89553585555919</v>
      </c>
      <c r="CQ26" s="765">
        <f>'SCE REF NTG'!AB26</f>
        <v>6.8252332729613769</v>
      </c>
      <c r="CR26" s="825" t="e">
        <f>'SCE REF NTG'!AC26</f>
        <v>#REF!</v>
      </c>
      <c r="CS26" s="765">
        <f>'SDGE REF NTG'!AB26</f>
        <v>4.2569318308524355</v>
      </c>
      <c r="CT26" s="825" t="e">
        <f>'SDGE REF NTG'!AC26</f>
        <v>#REF!</v>
      </c>
    </row>
    <row r="27" spans="1:98" ht="15" thickBot="1">
      <c r="A27" s="60"/>
      <c r="B27" s="218"/>
      <c r="C27" s="219"/>
      <c r="D27" s="218"/>
      <c r="E27" s="51"/>
      <c r="F27" s="52"/>
      <c r="G27" s="52"/>
      <c r="H27" s="59"/>
      <c r="I27" s="56"/>
      <c r="J27" s="65"/>
      <c r="K27" s="302"/>
      <c r="L27" s="62"/>
      <c r="M27" s="202"/>
      <c r="N27" s="196"/>
      <c r="O27" s="246"/>
      <c r="P27" s="95" t="s">
        <v>74</v>
      </c>
      <c r="Q27" s="96">
        <f>'Ret CF if Unit not available'!E15/100</f>
        <v>0.28566999999999998</v>
      </c>
      <c r="R27" s="247">
        <f>'Ret CF if Unit not available'!F15</f>
        <v>4.5152000000000001</v>
      </c>
      <c r="S27" s="713"/>
      <c r="T27" s="202"/>
      <c r="U27" s="202"/>
      <c r="V27" s="1782"/>
      <c r="W27" s="1748"/>
      <c r="X27" s="1748"/>
      <c r="Y27" s="1748"/>
      <c r="Z27" s="1747" t="s">
        <v>346</v>
      </c>
      <c r="AA27" s="1747"/>
      <c r="AB27" s="747">
        <f>B16*F26*J26*N26*Q27</f>
        <v>5.4853330564275211</v>
      </c>
      <c r="AC27" s="757">
        <f>100*AB27*SQRT(IF($B$16&gt;0,($C$16/$B$16/100)^2,0)+IF($F$26&gt;0,($G$26/$F$26/100)^2,0)+IF($J$26&gt;0,($K$26/$J$26/100)^2,0)+IF($N$26&gt;0,($O$26/$N$26/100)^2,0)+IF(Q27&gt;0,(R27/Q27/100)^2,0))</f>
        <v>100.36029442130835</v>
      </c>
      <c r="AD27" s="703">
        <f t="shared" si="0"/>
        <v>1035.9927015759845</v>
      </c>
      <c r="AE27" s="704">
        <f t="shared" si="1"/>
        <v>68.711769825167252</v>
      </c>
      <c r="AF27" s="701">
        <v>1</v>
      </c>
      <c r="AG27" s="702">
        <v>0</v>
      </c>
      <c r="AH27" s="709">
        <f t="shared" si="46"/>
        <v>1035.9927015759845</v>
      </c>
      <c r="AI27" s="710">
        <f t="shared" si="17"/>
        <v>68.711769825167252</v>
      </c>
      <c r="AJ27" s="709">
        <f>AB7</f>
        <v>452</v>
      </c>
      <c r="AK27" s="710"/>
      <c r="AL27" s="701">
        <v>1</v>
      </c>
      <c r="AM27" s="702">
        <v>0</v>
      </c>
      <c r="AN27" s="709">
        <f t="shared" si="18"/>
        <v>452</v>
      </c>
      <c r="AO27" s="704">
        <f t="shared" si="19"/>
        <v>0</v>
      </c>
      <c r="AP27" s="711">
        <f t="shared" si="20"/>
        <v>583.99270157598448</v>
      </c>
      <c r="AQ27" s="751">
        <f t="shared" si="3"/>
        <v>68.711769825167252</v>
      </c>
      <c r="AR27" s="711">
        <v>1</v>
      </c>
      <c r="AS27" s="711">
        <f t="shared" si="4"/>
        <v>583.99270157598448</v>
      </c>
      <c r="AT27" s="751">
        <f t="shared" si="21"/>
        <v>68.711769825167252</v>
      </c>
      <c r="AU27" s="845">
        <f t="shared" si="5"/>
        <v>3203.39447066716</v>
      </c>
      <c r="AV27" s="751">
        <f t="shared" si="6"/>
        <v>1245.3477698855554</v>
      </c>
      <c r="AW27" s="845">
        <f t="shared" si="7"/>
        <v>3203.39447066716</v>
      </c>
      <c r="AX27" s="751">
        <f t="shared" si="8"/>
        <v>696.82730714167724</v>
      </c>
      <c r="AY27" s="708">
        <f t="shared" si="32"/>
        <v>1</v>
      </c>
      <c r="AZ27" s="752">
        <f t="shared" si="31"/>
        <v>0.44547922210628649</v>
      </c>
      <c r="BB27" s="566"/>
      <c r="BC27" s="566"/>
      <c r="BD27" s="1583"/>
      <c r="BE27" s="1593"/>
      <c r="BF27" s="1583"/>
      <c r="BG27" s="1593"/>
      <c r="BH27" s="1587" t="s">
        <v>346</v>
      </c>
      <c r="BI27" s="1587"/>
      <c r="BJ27" s="765">
        <f t="shared" si="9"/>
        <v>5.4853330564275211</v>
      </c>
      <c r="BK27" s="766">
        <f t="shared" si="10"/>
        <v>1035.9927015759845</v>
      </c>
      <c r="BL27" s="767">
        <f t="shared" si="11"/>
        <v>1</v>
      </c>
      <c r="BM27" s="766">
        <f t="shared" si="12"/>
        <v>1035.9927015759845</v>
      </c>
      <c r="BN27" s="766">
        <f t="shared" si="13"/>
        <v>452</v>
      </c>
      <c r="BO27" s="766">
        <f t="shared" si="14"/>
        <v>1</v>
      </c>
      <c r="BP27" s="766">
        <f t="shared" si="15"/>
        <v>452</v>
      </c>
      <c r="BQ27" s="766">
        <f t="shared" si="16"/>
        <v>583.99270157598448</v>
      </c>
      <c r="BU27" s="1583"/>
      <c r="BV27" s="1593"/>
      <c r="BW27" s="1583"/>
      <c r="BX27" s="1593"/>
      <c r="BY27" s="1587" t="s">
        <v>346</v>
      </c>
      <c r="BZ27" s="1587"/>
      <c r="CA27" s="765">
        <f t="shared" si="22"/>
        <v>5.4853330564275211</v>
      </c>
      <c r="CB27" s="781">
        <f t="shared" si="23"/>
        <v>583.99270157598448</v>
      </c>
      <c r="CC27" s="782">
        <f t="shared" si="24"/>
        <v>1</v>
      </c>
      <c r="CD27" s="783">
        <f t="shared" si="25"/>
        <v>583.99270157598448</v>
      </c>
      <c r="CE27" s="782">
        <f t="shared" si="26"/>
        <v>3203.39447066716</v>
      </c>
      <c r="CF27" s="782">
        <f t="shared" si="27"/>
        <v>3203.39447066716</v>
      </c>
      <c r="CI27" s="1583"/>
      <c r="CJ27" s="1593"/>
      <c r="CK27" s="1583"/>
      <c r="CL27" s="1593"/>
      <c r="CM27" s="1587" t="s">
        <v>346</v>
      </c>
      <c r="CN27" s="1587"/>
      <c r="CO27" s="765">
        <f t="shared" si="28"/>
        <v>5.4853330564275211</v>
      </c>
      <c r="CP27" s="825">
        <f t="shared" si="28"/>
        <v>100.36029442130835</v>
      </c>
      <c r="CQ27" s="765">
        <f>'SCE REF NTG'!AB27</f>
        <v>4.7420131875577241</v>
      </c>
      <c r="CR27" s="825" t="e">
        <f>'SCE REF NTG'!AC27</f>
        <v>#REF!</v>
      </c>
      <c r="CS27" s="765">
        <f>'SDGE REF NTG'!AB27</f>
        <v>4.5716586978419764</v>
      </c>
      <c r="CT27" s="825" t="e">
        <f>'SDGE REF NTG'!AC27</f>
        <v>#REF!</v>
      </c>
    </row>
    <row r="28" spans="1:98" ht="24.6" thickBot="1">
      <c r="A28" s="60"/>
      <c r="B28" s="218"/>
      <c r="C28" s="219"/>
      <c r="D28" s="218"/>
      <c r="E28" s="51"/>
      <c r="F28" s="52"/>
      <c r="G28" s="52"/>
      <c r="H28" s="59"/>
      <c r="I28" s="56"/>
      <c r="J28" s="65"/>
      <c r="K28" s="302"/>
      <c r="L28" s="62"/>
      <c r="M28" s="1858"/>
      <c r="N28" s="1943"/>
      <c r="O28" s="248"/>
      <c r="P28" s="1946" t="s">
        <v>75</v>
      </c>
      <c r="Q28" s="1947">
        <f>'Ret CF if Unit not available'!E16/100</f>
        <v>0.20458300000000001</v>
      </c>
      <c r="R28" s="249">
        <f>'Ret CF if Unit not available'!F16</f>
        <v>4.1345000000000001</v>
      </c>
      <c r="S28" s="713"/>
      <c r="T28" s="203" t="s">
        <v>509</v>
      </c>
      <c r="U28" s="719">
        <f>'Ret CF if Unit not available'!W28</f>
        <v>0</v>
      </c>
      <c r="V28" s="1782"/>
      <c r="W28" s="1748"/>
      <c r="X28" s="1748"/>
      <c r="Y28" s="1748"/>
      <c r="Z28" s="1741" t="s">
        <v>495</v>
      </c>
      <c r="AA28" s="735" t="s">
        <v>509</v>
      </c>
      <c r="AB28" s="747">
        <f>B16*F26*J26*N26*Q28*U28</f>
        <v>0</v>
      </c>
      <c r="AC28" s="757">
        <f>100*AB28*SQRT(IF($B$16&gt;0,($C$16/$B$16/100)^2,0)+IF($F$26&gt;0,($G$26/$F$26/100)^2,0)+IF($J$26&gt;0,($K$26/$J$26/100)^2,0)+IF($N$26&gt;0,($O$26/$N$26/100)^2,0)+IF(Q28&gt;0,(R28/Q28/100)^2,0))</f>
        <v>0</v>
      </c>
      <c r="AD28" s="703">
        <f t="shared" si="0"/>
        <v>1035.9927015759845</v>
      </c>
      <c r="AE28" s="704">
        <f t="shared" si="1"/>
        <v>68.711769825167252</v>
      </c>
      <c r="AF28" s="701">
        <v>1</v>
      </c>
      <c r="AG28" s="702">
        <v>0</v>
      </c>
      <c r="AH28" s="709">
        <f t="shared" si="46"/>
        <v>1035.9927015759845</v>
      </c>
      <c r="AI28" s="710">
        <f t="shared" si="17"/>
        <v>68.711769825167252</v>
      </c>
      <c r="AJ28" s="703">
        <f t="shared" ref="AJ28" si="47">$AB$4</f>
        <v>1035.9927015759845</v>
      </c>
      <c r="AK28" s="710"/>
      <c r="AL28" s="701">
        <v>1</v>
      </c>
      <c r="AM28" s="702">
        <v>0</v>
      </c>
      <c r="AN28" s="709">
        <f t="shared" si="18"/>
        <v>1035.9927015759845</v>
      </c>
      <c r="AO28" s="704">
        <f t="shared" si="19"/>
        <v>0</v>
      </c>
      <c r="AP28" s="711">
        <f t="shared" si="20"/>
        <v>0</v>
      </c>
      <c r="AQ28" s="751">
        <f t="shared" si="3"/>
        <v>68.711769825167252</v>
      </c>
      <c r="AR28" s="711">
        <v>1</v>
      </c>
      <c r="AS28" s="711">
        <f t="shared" si="4"/>
        <v>0</v>
      </c>
      <c r="AT28" s="751">
        <f t="shared" si="21"/>
        <v>68.711769825167252</v>
      </c>
      <c r="AU28" s="845">
        <f t="shared" si="5"/>
        <v>0</v>
      </c>
      <c r="AV28" s="751">
        <f t="shared" si="6"/>
        <v>0</v>
      </c>
      <c r="AW28" s="845">
        <f t="shared" si="7"/>
        <v>0</v>
      </c>
      <c r="AX28" s="751">
        <f t="shared" si="8"/>
        <v>0</v>
      </c>
      <c r="AY28" s="708">
        <f t="shared" si="32"/>
        <v>0</v>
      </c>
      <c r="AZ28" s="752">
        <f t="shared" si="31"/>
        <v>0</v>
      </c>
      <c r="BB28" s="566"/>
      <c r="BC28" s="566"/>
      <c r="BD28" s="1583"/>
      <c r="BE28" s="1593"/>
      <c r="BF28" s="1583"/>
      <c r="BG28" s="1593"/>
      <c r="BH28" s="1595" t="s">
        <v>495</v>
      </c>
      <c r="BI28" s="774" t="s">
        <v>509</v>
      </c>
      <c r="BJ28" s="765">
        <f t="shared" si="9"/>
        <v>0</v>
      </c>
      <c r="BK28" s="766">
        <f t="shared" si="10"/>
        <v>1035.9927015759845</v>
      </c>
      <c r="BL28" s="767">
        <f t="shared" si="11"/>
        <v>1</v>
      </c>
      <c r="BM28" s="766">
        <f t="shared" si="12"/>
        <v>1035.9927015759845</v>
      </c>
      <c r="BN28" s="766">
        <f t="shared" si="13"/>
        <v>1035.9927015759845</v>
      </c>
      <c r="BO28" s="766">
        <f t="shared" si="14"/>
        <v>1</v>
      </c>
      <c r="BP28" s="766">
        <f t="shared" si="15"/>
        <v>1035.9927015759845</v>
      </c>
      <c r="BQ28" s="766">
        <f t="shared" si="16"/>
        <v>0</v>
      </c>
      <c r="BU28" s="1583"/>
      <c r="BV28" s="1593"/>
      <c r="BW28" s="1583"/>
      <c r="BX28" s="1593"/>
      <c r="BY28" s="1595" t="s">
        <v>495</v>
      </c>
      <c r="BZ28" s="774" t="s">
        <v>509</v>
      </c>
      <c r="CA28" s="765">
        <f t="shared" si="22"/>
        <v>0</v>
      </c>
      <c r="CB28" s="781">
        <f t="shared" si="23"/>
        <v>0</v>
      </c>
      <c r="CC28" s="782">
        <f t="shared" si="24"/>
        <v>1</v>
      </c>
      <c r="CD28" s="783">
        <f t="shared" si="25"/>
        <v>0</v>
      </c>
      <c r="CE28" s="782">
        <f t="shared" si="26"/>
        <v>0</v>
      </c>
      <c r="CF28" s="782">
        <f t="shared" si="27"/>
        <v>0</v>
      </c>
      <c r="CI28" s="1583"/>
      <c r="CJ28" s="1593"/>
      <c r="CK28" s="1583"/>
      <c r="CL28" s="1593"/>
      <c r="CM28" s="1595" t="s">
        <v>495</v>
      </c>
      <c r="CN28" s="774" t="s">
        <v>509</v>
      </c>
      <c r="CO28" s="765">
        <f t="shared" si="28"/>
        <v>0</v>
      </c>
      <c r="CP28" s="825">
        <f t="shared" si="28"/>
        <v>0</v>
      </c>
      <c r="CQ28" s="765">
        <f>'SCE REF NTG'!AB28</f>
        <v>0</v>
      </c>
      <c r="CR28" s="825" t="e">
        <f>'SCE REF NTG'!AC28</f>
        <v>#REF!</v>
      </c>
      <c r="CS28" s="765">
        <f>'SDGE REF NTG'!AB28</f>
        <v>0</v>
      </c>
      <c r="CT28" s="825" t="e">
        <f>'SDGE REF NTG'!AC28</f>
        <v>#REF!</v>
      </c>
    </row>
    <row r="29" spans="1:98" ht="24.6" thickBot="1">
      <c r="A29" s="60"/>
      <c r="B29" s="218"/>
      <c r="C29" s="219"/>
      <c r="D29" s="218"/>
      <c r="E29" s="51"/>
      <c r="F29" s="52"/>
      <c r="G29" s="52"/>
      <c r="H29" s="59"/>
      <c r="I29" s="56"/>
      <c r="J29" s="65"/>
      <c r="K29" s="302"/>
      <c r="L29" s="62"/>
      <c r="M29" s="1944"/>
      <c r="N29" s="1945"/>
      <c r="O29" s="246"/>
      <c r="P29" s="1946"/>
      <c r="Q29" s="1947"/>
      <c r="R29" s="247"/>
      <c r="S29" s="714"/>
      <c r="T29" s="202" t="s">
        <v>508</v>
      </c>
      <c r="U29" s="720">
        <f>'Ret CF if Unit not available'!W27</f>
        <v>0</v>
      </c>
      <c r="V29" s="1782"/>
      <c r="W29" s="1748"/>
      <c r="X29" s="1748"/>
      <c r="Y29" s="1748"/>
      <c r="Z29" s="1741"/>
      <c r="AA29" s="735" t="s">
        <v>511</v>
      </c>
      <c r="AB29" s="747">
        <f>B16*F26*J26*N26*Q28*U29</f>
        <v>0</v>
      </c>
      <c r="AC29" s="757">
        <f>100*AB29*SQRT(IF($B$16&gt;0,($C$16/$B$16/100)^2,0)+IF($F$26&gt;0,($G$26/$F$26/100)^2,0)+IF($J$26&gt;0,($K$26/$J$26/100)^2,0)+IF($N$26&gt;0,($O$26/$N$26/100)^2,0)+IF(Q28&gt;0,(R28/Q28/100)^2,0))</f>
        <v>0</v>
      </c>
      <c r="AD29" s="703">
        <f t="shared" si="0"/>
        <v>1035.9927015759845</v>
      </c>
      <c r="AE29" s="704">
        <f t="shared" si="1"/>
        <v>68.711769825167252</v>
      </c>
      <c r="AF29" s="701">
        <v>1</v>
      </c>
      <c r="AG29" s="702">
        <v>0</v>
      </c>
      <c r="AH29" s="709">
        <f t="shared" ref="AH29" si="48">AD29*AF29</f>
        <v>1035.9927015759845</v>
      </c>
      <c r="AI29" s="710">
        <f t="shared" ref="AI29" si="49">AH29*SQRT(IF(AD29&gt;0,(AE29/AD29)^2,0)+IF(AF29&gt;0,(AG29/AF29/100)^2,0))</f>
        <v>68.711769825167252</v>
      </c>
      <c r="AJ29" s="709">
        <v>0</v>
      </c>
      <c r="AK29" s="710"/>
      <c r="AL29" s="701">
        <v>1</v>
      </c>
      <c r="AM29" s="702">
        <v>0</v>
      </c>
      <c r="AN29" s="709">
        <f t="shared" ref="AN29" si="50">AL29*AJ29</f>
        <v>0</v>
      </c>
      <c r="AO29" s="704">
        <f t="shared" ref="AO29" si="51">AN29*SQRT(IF(AJ29&gt;0,(AK29/AJ29)^2,0)+IF(AL29&gt;0,(AM29/AL29/100)^2,0))</f>
        <v>0</v>
      </c>
      <c r="AP29" s="711">
        <f t="shared" ref="AP29" si="52">AH29-AN29</f>
        <v>1035.9927015759845</v>
      </c>
      <c r="AQ29" s="751">
        <f t="shared" ref="AQ29" si="53">SQRT(AO29^2+AI29^2)</f>
        <v>68.711769825167252</v>
      </c>
      <c r="AR29" s="711">
        <v>1</v>
      </c>
      <c r="AS29" s="711">
        <f t="shared" ref="AS29" si="54">AP29*AR29</f>
        <v>1035.9927015759845</v>
      </c>
      <c r="AT29" s="751">
        <f t="shared" ref="AT29" si="55">AQ29</f>
        <v>68.711769825167252</v>
      </c>
      <c r="AU29" s="845">
        <f t="shared" ref="AU29" si="56">AP29*AB29</f>
        <v>0</v>
      </c>
      <c r="AV29" s="751">
        <f t="shared" ref="AV29" si="57">AU29*SQRT(IF(AB29&gt;0,(AC29/AB29/100)^2,0)+IF(AP29&gt;0,(AQ29/AP29),0))</f>
        <v>0</v>
      </c>
      <c r="AW29" s="845">
        <f t="shared" ref="AW29" si="58">AS29*AB29</f>
        <v>0</v>
      </c>
      <c r="AX29" s="751">
        <f t="shared" ref="AX29" si="59">AW29*SQRT(IF(AS29&gt;0,(AT29/AS29)^2,0)+IF(AB29&gt;0,(AC29/AB29/100)^2,0))</f>
        <v>0</v>
      </c>
      <c r="AY29" s="708">
        <f t="shared" ref="AY29" si="60">IF(AU29&gt;0,AW29/AU29,0)</f>
        <v>0</v>
      </c>
      <c r="AZ29" s="752"/>
      <c r="BA29" s="643"/>
      <c r="BB29" s="566"/>
      <c r="BC29" s="566"/>
      <c r="BD29" s="1583"/>
      <c r="BE29" s="1593"/>
      <c r="BF29" s="1583"/>
      <c r="BG29" s="1594"/>
      <c r="BH29" s="1596"/>
      <c r="BI29" s="774" t="s">
        <v>511</v>
      </c>
      <c r="BJ29" s="765">
        <f t="shared" si="9"/>
        <v>0</v>
      </c>
      <c r="BK29" s="766">
        <f t="shared" si="10"/>
        <v>1035.9927015759845</v>
      </c>
      <c r="BL29" s="767">
        <f t="shared" si="11"/>
        <v>1</v>
      </c>
      <c r="BM29" s="766">
        <f t="shared" si="12"/>
        <v>1035.9927015759845</v>
      </c>
      <c r="BN29" s="766">
        <f t="shared" si="13"/>
        <v>0</v>
      </c>
      <c r="BO29" s="766">
        <f t="shared" si="14"/>
        <v>1</v>
      </c>
      <c r="BP29" s="766">
        <f t="shared" si="15"/>
        <v>0</v>
      </c>
      <c r="BQ29" s="766">
        <f t="shared" si="16"/>
        <v>1035.9927015759845</v>
      </c>
      <c r="BR29" s="643"/>
      <c r="BS29" s="643"/>
      <c r="BT29" s="643"/>
      <c r="BU29" s="1583"/>
      <c r="BV29" s="1593"/>
      <c r="BW29" s="1583"/>
      <c r="BX29" s="1594"/>
      <c r="BY29" s="1596"/>
      <c r="BZ29" s="774" t="s">
        <v>511</v>
      </c>
      <c r="CA29" s="765">
        <f t="shared" si="22"/>
        <v>0</v>
      </c>
      <c r="CB29" s="781">
        <f t="shared" si="23"/>
        <v>1035.9927015759845</v>
      </c>
      <c r="CC29" s="782">
        <f t="shared" si="24"/>
        <v>1</v>
      </c>
      <c r="CD29" s="783">
        <f t="shared" si="25"/>
        <v>1035.9927015759845</v>
      </c>
      <c r="CE29" s="782">
        <f t="shared" si="26"/>
        <v>0</v>
      </c>
      <c r="CF29" s="782">
        <f t="shared" si="27"/>
        <v>0</v>
      </c>
      <c r="CI29" s="1583"/>
      <c r="CJ29" s="1593"/>
      <c r="CK29" s="1583"/>
      <c r="CL29" s="1594"/>
      <c r="CM29" s="1596"/>
      <c r="CN29" s="774" t="s">
        <v>511</v>
      </c>
      <c r="CO29" s="765">
        <f t="shared" si="28"/>
        <v>0</v>
      </c>
      <c r="CP29" s="825">
        <f t="shared" si="28"/>
        <v>0</v>
      </c>
      <c r="CQ29" s="765">
        <f>'SCE REF NTG'!AB29</f>
        <v>0</v>
      </c>
      <c r="CR29" s="825" t="e">
        <f>'SCE REF NTG'!AC29</f>
        <v>#REF!</v>
      </c>
      <c r="CS29" s="765">
        <f>'SDGE REF NTG'!AB29</f>
        <v>0</v>
      </c>
      <c r="CT29" s="825" t="e">
        <f>'SDGE REF NTG'!AC29</f>
        <v>#REF!</v>
      </c>
    </row>
    <row r="30" spans="1:98" s="643" customFormat="1" ht="24" customHeight="1" thickBot="1">
      <c r="A30" s="60"/>
      <c r="B30" s="218"/>
      <c r="C30" s="219"/>
      <c r="D30" s="218"/>
      <c r="E30" s="51"/>
      <c r="F30" s="52"/>
      <c r="G30" s="52"/>
      <c r="H30" s="59"/>
      <c r="I30" s="56"/>
      <c r="J30" s="65"/>
      <c r="K30" s="302"/>
      <c r="L30" s="62"/>
      <c r="M30" s="204" t="s">
        <v>60</v>
      </c>
      <c r="N30" s="198">
        <f>'Ret CF if Unit not available'!E83/100</f>
        <v>5.6475999999999998E-2</v>
      </c>
      <c r="O30" s="250">
        <f>'Ret CF if Unit not available'!F83</f>
        <v>3.2296999999999998</v>
      </c>
      <c r="P30" s="99" t="s">
        <v>77</v>
      </c>
      <c r="Q30" s="100">
        <f>'Ret CF if Unit not available'!E44/100</f>
        <v>0.36532899999999996</v>
      </c>
      <c r="R30" s="251">
        <f>'Ret CF if Unit not available'!F44</f>
        <v>13.456200000000001</v>
      </c>
      <c r="S30" s="204" t="s">
        <v>67</v>
      </c>
      <c r="T30" s="204"/>
      <c r="U30" s="204"/>
      <c r="V30" s="1782"/>
      <c r="W30" s="1748"/>
      <c r="X30" s="1748"/>
      <c r="Y30" s="1788" t="s">
        <v>343</v>
      </c>
      <c r="Z30" s="1783" t="s">
        <v>345</v>
      </c>
      <c r="AA30" s="1783"/>
      <c r="AB30" s="748">
        <f>B16*F26*J26*N30*Q30</f>
        <v>0.41988802921479196</v>
      </c>
      <c r="AC30" s="758">
        <f>100*AB30*SQRT(IF($B$16&gt;0,($C$16/$B$16/100)^2,0)+IF($F$26&gt;0,($G$26/$F$26/100)^2,0)+IF($J$26&gt;0,($K$26/$J$26/100)^2,0)+IF($N$30&gt;0,($O$30/$N$30/100)^2,0)+IF(Q30&gt;0,(R30/Q30/100)^2,0))</f>
        <v>28.78685916890468</v>
      </c>
      <c r="AD30" s="703">
        <f t="shared" si="0"/>
        <v>1035.9927015759845</v>
      </c>
      <c r="AE30" s="704">
        <f t="shared" si="1"/>
        <v>68.711769825167252</v>
      </c>
      <c r="AF30" s="701">
        <f>'Part KIU-KU'!H$25</f>
        <v>0.90680879999999997</v>
      </c>
      <c r="AG30" s="702">
        <f>'Part KIU-KU'!$J$25</f>
        <v>3.5229200000000002E-2</v>
      </c>
      <c r="AH30" s="709">
        <f t="shared" si="46"/>
        <v>939.4472985248766</v>
      </c>
      <c r="AI30" s="710">
        <f t="shared" si="17"/>
        <v>62.309506444223977</v>
      </c>
      <c r="AJ30" s="709">
        <f>$AB$6</f>
        <v>783</v>
      </c>
      <c r="AK30" s="710">
        <f>$AC$6</f>
        <v>106</v>
      </c>
      <c r="AL30" s="701">
        <f>'Part KIU-KU'!H$25</f>
        <v>0.90680879999999997</v>
      </c>
      <c r="AM30" s="702">
        <f>'Part KIU-KU'!$J$25</f>
        <v>3.5229200000000002E-2</v>
      </c>
      <c r="AN30" s="709">
        <f t="shared" si="18"/>
        <v>710.03129039999999</v>
      </c>
      <c r="AO30" s="704">
        <f t="shared" si="19"/>
        <v>96.122128600743167</v>
      </c>
      <c r="AP30" s="711">
        <f t="shared" si="20"/>
        <v>229.41600812487661</v>
      </c>
      <c r="AQ30" s="751">
        <f t="shared" si="3"/>
        <v>114.55102880402514</v>
      </c>
      <c r="AR30" s="711">
        <v>1</v>
      </c>
      <c r="AS30" s="711">
        <f t="shared" si="4"/>
        <v>229.41600812487661</v>
      </c>
      <c r="AT30" s="751">
        <f t="shared" si="21"/>
        <v>114.55102880402514</v>
      </c>
      <c r="AU30" s="845">
        <f t="shared" si="5"/>
        <v>96.329035521879135</v>
      </c>
      <c r="AV30" s="751">
        <f t="shared" si="6"/>
        <v>94.840885561364558</v>
      </c>
      <c r="AW30" s="845">
        <f t="shared" si="7"/>
        <v>96.329035521879135</v>
      </c>
      <c r="AX30" s="751">
        <f t="shared" si="8"/>
        <v>81.700533335566021</v>
      </c>
      <c r="AY30" s="708">
        <f t="shared" si="32"/>
        <v>1</v>
      </c>
      <c r="AZ30" s="752">
        <f t="shared" si="31"/>
        <v>1.2994934923626973</v>
      </c>
      <c r="BA30" s="11"/>
      <c r="BB30" s="566"/>
      <c r="BC30" s="566"/>
      <c r="BD30" s="1583"/>
      <c r="BE30" s="1593"/>
      <c r="BF30" s="1583"/>
      <c r="BG30" s="1597" t="s">
        <v>343</v>
      </c>
      <c r="BH30" s="1600" t="s">
        <v>345</v>
      </c>
      <c r="BI30" s="1601"/>
      <c r="BJ30" s="765">
        <f t="shared" si="9"/>
        <v>0.41988802921479196</v>
      </c>
      <c r="BK30" s="766">
        <f t="shared" si="10"/>
        <v>1035.9927015759845</v>
      </c>
      <c r="BL30" s="767">
        <f t="shared" si="11"/>
        <v>0.90680879999999997</v>
      </c>
      <c r="BM30" s="766">
        <f t="shared" si="12"/>
        <v>939.4472985248766</v>
      </c>
      <c r="BN30" s="766">
        <f t="shared" si="13"/>
        <v>783</v>
      </c>
      <c r="BO30" s="766">
        <f t="shared" si="14"/>
        <v>0.90680879999999997</v>
      </c>
      <c r="BP30" s="766">
        <f t="shared" si="15"/>
        <v>710.03129039999999</v>
      </c>
      <c r="BQ30" s="766">
        <f t="shared" si="16"/>
        <v>229.41600812487661</v>
      </c>
      <c r="BR30" s="11"/>
      <c r="BS30" s="11"/>
      <c r="BT30" s="11"/>
      <c r="BU30" s="1583"/>
      <c r="BV30" s="1593"/>
      <c r="BW30" s="1583"/>
      <c r="BX30" s="1597" t="s">
        <v>343</v>
      </c>
      <c r="BY30" s="1600" t="s">
        <v>345</v>
      </c>
      <c r="BZ30" s="1601"/>
      <c r="CA30" s="765">
        <f t="shared" si="22"/>
        <v>0.41988802921479196</v>
      </c>
      <c r="CB30" s="781">
        <f t="shared" si="23"/>
        <v>229.41600812487661</v>
      </c>
      <c r="CC30" s="782">
        <f t="shared" si="24"/>
        <v>1</v>
      </c>
      <c r="CD30" s="783">
        <f t="shared" si="25"/>
        <v>229.41600812487661</v>
      </c>
      <c r="CE30" s="782">
        <f t="shared" si="26"/>
        <v>96.329035521879135</v>
      </c>
      <c r="CF30" s="782">
        <f t="shared" si="27"/>
        <v>96.329035521879135</v>
      </c>
      <c r="CG30"/>
      <c r="CH30"/>
      <c r="CI30" s="1583"/>
      <c r="CJ30" s="1593"/>
      <c r="CK30" s="1583"/>
      <c r="CL30" s="1597" t="s">
        <v>343</v>
      </c>
      <c r="CM30" s="1600" t="s">
        <v>345</v>
      </c>
      <c r="CN30" s="1601"/>
      <c r="CO30" s="765">
        <f t="shared" si="28"/>
        <v>0.41988802921479196</v>
      </c>
      <c r="CP30" s="825">
        <f t="shared" si="28"/>
        <v>28.78685916890468</v>
      </c>
      <c r="CQ30" s="765">
        <f>'SCE REF NTG'!AB30</f>
        <v>0.85443986243156356</v>
      </c>
      <c r="CR30" s="825" t="e">
        <f>'SCE REF NTG'!AC30</f>
        <v>#REF!</v>
      </c>
      <c r="CS30" s="765">
        <f>'SDGE REF NTG'!AB30</f>
        <v>0.8290997514666596</v>
      </c>
      <c r="CT30" s="825" t="e">
        <f>'SDGE REF NTG'!AC30</f>
        <v>#REF!</v>
      </c>
    </row>
    <row r="31" spans="1:98" ht="15" thickBot="1">
      <c r="A31" s="60"/>
      <c r="B31" s="218"/>
      <c r="C31" s="219"/>
      <c r="D31" s="218"/>
      <c r="E31" s="51"/>
      <c r="F31" s="52"/>
      <c r="G31" s="52"/>
      <c r="H31" s="59"/>
      <c r="I31" s="56"/>
      <c r="J31" s="65"/>
      <c r="K31" s="302"/>
      <c r="L31" s="62"/>
      <c r="M31" s="205"/>
      <c r="N31" s="199"/>
      <c r="O31" s="252"/>
      <c r="P31" s="99" t="s">
        <v>74</v>
      </c>
      <c r="Q31" s="100">
        <f>'Ret CF if Unit not available'!E45/100</f>
        <v>0.24781800000000001</v>
      </c>
      <c r="R31" s="253">
        <f>'Ret CF if Unit not available'!F45</f>
        <v>11.5464</v>
      </c>
      <c r="S31" s="205"/>
      <c r="T31" s="205"/>
      <c r="U31" s="205"/>
      <c r="V31" s="1782"/>
      <c r="W31" s="1748"/>
      <c r="X31" s="1748"/>
      <c r="Y31" s="1788"/>
      <c r="Z31" s="1783" t="s">
        <v>346</v>
      </c>
      <c r="AA31" s="1783"/>
      <c r="AB31" s="748">
        <f>B16*F26*J26*N30*Q31</f>
        <v>0.28482768032089245</v>
      </c>
      <c r="AC31" s="758">
        <f>100*AB31*SQRT(IF($B$16&gt;0,($C$16/$B$16/100)^2,0)+IF($F$26&gt;0,($G$26/$F$26/100)^2,0)+IF($J$26&gt;0,($K$26/$J$26/100)^2,0)+IF($N$30&gt;0,($O$30/$N$30/100)^2,0)+IF(Q31&gt;0,(R31/Q31/100)^2,0))</f>
        <v>21.151054654200205</v>
      </c>
      <c r="AD31" s="703">
        <f t="shared" si="0"/>
        <v>1035.9927015759845</v>
      </c>
      <c r="AE31" s="704">
        <f t="shared" si="1"/>
        <v>68.711769825167252</v>
      </c>
      <c r="AF31" s="701">
        <f>'Part KIU-KU'!H$25</f>
        <v>0.90680879999999997</v>
      </c>
      <c r="AG31" s="702">
        <f>'Part KIU-KU'!$J$25</f>
        <v>3.5229200000000002E-2</v>
      </c>
      <c r="AH31" s="709">
        <f t="shared" si="46"/>
        <v>939.4472985248766</v>
      </c>
      <c r="AI31" s="710">
        <f t="shared" si="17"/>
        <v>62.309506444223977</v>
      </c>
      <c r="AJ31" s="709">
        <f>AB7</f>
        <v>452</v>
      </c>
      <c r="AK31" s="710"/>
      <c r="AL31" s="701">
        <f>'Part KIU-KU'!H$25</f>
        <v>0.90680879999999997</v>
      </c>
      <c r="AM31" s="702">
        <f>'Part KIU-KU'!$J$25</f>
        <v>3.5229200000000002E-2</v>
      </c>
      <c r="AN31" s="709">
        <f t="shared" si="18"/>
        <v>409.8775776</v>
      </c>
      <c r="AO31" s="704">
        <f t="shared" si="19"/>
        <v>0.159235984</v>
      </c>
      <c r="AP31" s="711">
        <f t="shared" si="20"/>
        <v>529.56972092487661</v>
      </c>
      <c r="AQ31" s="751">
        <f t="shared" si="3"/>
        <v>62.309709912832929</v>
      </c>
      <c r="AR31" s="711">
        <v>1</v>
      </c>
      <c r="AS31" s="711">
        <f t="shared" si="4"/>
        <v>529.56972092487661</v>
      </c>
      <c r="AT31" s="751">
        <f t="shared" si="21"/>
        <v>62.309709912832929</v>
      </c>
      <c r="AU31" s="845">
        <f t="shared" si="5"/>
        <v>150.83611517921497</v>
      </c>
      <c r="AV31" s="751">
        <f t="shared" si="6"/>
        <v>123.38198717410096</v>
      </c>
      <c r="AW31" s="845">
        <f t="shared" si="7"/>
        <v>150.83611517921497</v>
      </c>
      <c r="AX31" s="751">
        <f t="shared" si="8"/>
        <v>113.40688288294007</v>
      </c>
      <c r="AY31" s="708">
        <f t="shared" si="32"/>
        <v>1</v>
      </c>
      <c r="AZ31" s="752">
        <f t="shared" si="31"/>
        <v>1.1110304638402972</v>
      </c>
      <c r="BB31" s="566"/>
      <c r="BC31" s="566"/>
      <c r="BD31" s="1583"/>
      <c r="BE31" s="1593"/>
      <c r="BF31" s="1583"/>
      <c r="BG31" s="1598"/>
      <c r="BH31" s="1587" t="s">
        <v>346</v>
      </c>
      <c r="BI31" s="1587"/>
      <c r="BJ31" s="765">
        <f t="shared" si="9"/>
        <v>0.28482768032089245</v>
      </c>
      <c r="BK31" s="766">
        <f t="shared" si="10"/>
        <v>1035.9927015759845</v>
      </c>
      <c r="BL31" s="767">
        <f t="shared" si="11"/>
        <v>0.90680879999999997</v>
      </c>
      <c r="BM31" s="766">
        <f t="shared" si="12"/>
        <v>939.4472985248766</v>
      </c>
      <c r="BN31" s="766">
        <f t="shared" si="13"/>
        <v>452</v>
      </c>
      <c r="BO31" s="766">
        <f t="shared" si="14"/>
        <v>0.90680879999999997</v>
      </c>
      <c r="BP31" s="766">
        <f t="shared" si="15"/>
        <v>409.8775776</v>
      </c>
      <c r="BQ31" s="766">
        <f t="shared" si="16"/>
        <v>529.56972092487661</v>
      </c>
      <c r="BU31" s="1583"/>
      <c r="BV31" s="1593"/>
      <c r="BW31" s="1583"/>
      <c r="BX31" s="1598"/>
      <c r="BY31" s="1587" t="s">
        <v>346</v>
      </c>
      <c r="BZ31" s="1587"/>
      <c r="CA31" s="765">
        <f t="shared" si="22"/>
        <v>0.28482768032089245</v>
      </c>
      <c r="CB31" s="781">
        <f t="shared" si="23"/>
        <v>529.56972092487661</v>
      </c>
      <c r="CC31" s="782">
        <f t="shared" si="24"/>
        <v>1</v>
      </c>
      <c r="CD31" s="783">
        <f t="shared" si="25"/>
        <v>529.56972092487661</v>
      </c>
      <c r="CE31" s="782">
        <f t="shared" si="26"/>
        <v>150.83611517921497</v>
      </c>
      <c r="CF31" s="782">
        <f t="shared" si="27"/>
        <v>150.83611517921497</v>
      </c>
      <c r="CI31" s="1583"/>
      <c r="CJ31" s="1593"/>
      <c r="CK31" s="1583"/>
      <c r="CL31" s="1598"/>
      <c r="CM31" s="1587" t="s">
        <v>346</v>
      </c>
      <c r="CN31" s="1587"/>
      <c r="CO31" s="765">
        <f t="shared" si="28"/>
        <v>0.28482768032089245</v>
      </c>
      <c r="CP31" s="825">
        <f t="shared" si="28"/>
        <v>21.151054654200205</v>
      </c>
      <c r="CQ31" s="765">
        <f>'SCE REF NTG'!AB31</f>
        <v>0.29877974055192841</v>
      </c>
      <c r="CR31" s="825" t="e">
        <f>'SCE REF NTG'!AC31</f>
        <v>#REF!</v>
      </c>
      <c r="CS31" s="765">
        <f>'SDGE REF NTG'!AB31</f>
        <v>0.4602090787584921</v>
      </c>
      <c r="CT31" s="825" t="e">
        <f>'SDGE REF NTG'!AC31</f>
        <v>#REF!</v>
      </c>
    </row>
    <row r="32" spans="1:98" ht="15" thickBot="1">
      <c r="A32" s="60"/>
      <c r="B32" s="218"/>
      <c r="C32" s="219"/>
      <c r="D32" s="218"/>
      <c r="E32" s="51"/>
      <c r="F32" s="52"/>
      <c r="G32" s="52"/>
      <c r="H32" s="59"/>
      <c r="I32" s="56"/>
      <c r="J32" s="65"/>
      <c r="K32" s="303"/>
      <c r="L32" s="62"/>
      <c r="M32" s="206"/>
      <c r="N32" s="200"/>
      <c r="O32" s="254"/>
      <c r="P32" s="101" t="s">
        <v>75</v>
      </c>
      <c r="Q32" s="102">
        <f>'Ret CF if Unit not available'!E46/100</f>
        <v>0.386853</v>
      </c>
      <c r="R32" s="255">
        <f>'Ret CF if Unit not available'!F46</f>
        <v>13.286</v>
      </c>
      <c r="S32" s="206"/>
      <c r="T32" s="206"/>
      <c r="U32" s="206"/>
      <c r="V32" s="1782"/>
      <c r="W32" s="1748"/>
      <c r="X32" s="1748"/>
      <c r="Y32" s="1788"/>
      <c r="Z32" s="1783" t="s">
        <v>347</v>
      </c>
      <c r="AA32" s="1783"/>
      <c r="AB32" s="748">
        <f>B16*F26*J26*N30*Q32</f>
        <v>0.44462647029343394</v>
      </c>
      <c r="AC32" s="758">
        <f>100*AB32*SQRT(IF($B$16&gt;0,($C$16/$B$16/100)^2,0)+IF($F$26&gt;0,($G$26/$F$26/100)^2,0)+IF($J$26&gt;0,($K$26/$J$26/100)^2,0)+IF($N$30&gt;0,($O$30/$N$30/100)^2,0)+IF(Q32&gt;0,(R32/Q32/100)^2,0))</f>
        <v>29.902826341930005</v>
      </c>
      <c r="AD32" s="703">
        <f t="shared" si="0"/>
        <v>1035.9927015759845</v>
      </c>
      <c r="AE32" s="704">
        <f t="shared" si="1"/>
        <v>68.711769825167252</v>
      </c>
      <c r="AF32" s="701">
        <f>'Part KIU-KU'!H$25</f>
        <v>0.90680879999999997</v>
      </c>
      <c r="AG32" s="702">
        <f>'Part KIU-KU'!$J$25</f>
        <v>3.5229200000000002E-2</v>
      </c>
      <c r="AH32" s="709">
        <f t="shared" si="46"/>
        <v>939.4472985248766</v>
      </c>
      <c r="AI32" s="710">
        <f t="shared" si="17"/>
        <v>62.309506444223977</v>
      </c>
      <c r="AJ32" s="709">
        <v>0</v>
      </c>
      <c r="AK32" s="710"/>
      <c r="AL32" s="701">
        <f>'Part KIU-KU'!H$25</f>
        <v>0.90680879999999997</v>
      </c>
      <c r="AM32" s="702">
        <f>'Part KIU-KU'!$J$25</f>
        <v>3.5229200000000002E-2</v>
      </c>
      <c r="AN32" s="709">
        <f t="shared" si="18"/>
        <v>0</v>
      </c>
      <c r="AO32" s="704">
        <f t="shared" si="19"/>
        <v>0</v>
      </c>
      <c r="AP32" s="711">
        <f t="shared" si="20"/>
        <v>939.4472985248766</v>
      </c>
      <c r="AQ32" s="751">
        <f t="shared" si="3"/>
        <v>62.309506444223977</v>
      </c>
      <c r="AR32" s="711">
        <v>1</v>
      </c>
      <c r="AS32" s="711">
        <f t="shared" si="4"/>
        <v>939.4472985248766</v>
      </c>
      <c r="AT32" s="751">
        <f t="shared" si="21"/>
        <v>62.309506444223977</v>
      </c>
      <c r="AU32" s="845">
        <f t="shared" si="5"/>
        <v>417.7031363698178</v>
      </c>
      <c r="AV32" s="751">
        <f t="shared" si="6"/>
        <v>300.81391538902255</v>
      </c>
      <c r="AW32" s="845">
        <f t="shared" si="7"/>
        <v>417.7031363698178</v>
      </c>
      <c r="AX32" s="751">
        <f t="shared" si="8"/>
        <v>282.28409526881836</v>
      </c>
      <c r="AY32" s="708">
        <f t="shared" si="32"/>
        <v>1</v>
      </c>
      <c r="AZ32" s="752">
        <f t="shared" si="31"/>
        <v>0.98759299860938266</v>
      </c>
      <c r="BB32" s="566"/>
      <c r="BC32" s="566"/>
      <c r="BD32" s="1583"/>
      <c r="BE32" s="1593"/>
      <c r="BF32" s="1583"/>
      <c r="BG32" s="1599"/>
      <c r="BH32" s="1587" t="s">
        <v>347</v>
      </c>
      <c r="BI32" s="1587"/>
      <c r="BJ32" s="765">
        <f t="shared" si="9"/>
        <v>0.44462647029343394</v>
      </c>
      <c r="BK32" s="766">
        <f t="shared" si="10"/>
        <v>1035.9927015759845</v>
      </c>
      <c r="BL32" s="767">
        <f t="shared" si="11"/>
        <v>0.90680879999999997</v>
      </c>
      <c r="BM32" s="766">
        <f t="shared" si="12"/>
        <v>939.4472985248766</v>
      </c>
      <c r="BN32" s="766">
        <f t="shared" si="13"/>
        <v>0</v>
      </c>
      <c r="BO32" s="766">
        <f t="shared" si="14"/>
        <v>0.90680879999999997</v>
      </c>
      <c r="BP32" s="766">
        <f t="shared" si="15"/>
        <v>0</v>
      </c>
      <c r="BQ32" s="766">
        <f t="shared" si="16"/>
        <v>939.4472985248766</v>
      </c>
      <c r="BU32" s="1583"/>
      <c r="BV32" s="1593"/>
      <c r="BW32" s="1583"/>
      <c r="BX32" s="1599"/>
      <c r="BY32" s="1587" t="s">
        <v>347</v>
      </c>
      <c r="BZ32" s="1587"/>
      <c r="CA32" s="765">
        <f t="shared" si="22"/>
        <v>0.44462647029343394</v>
      </c>
      <c r="CB32" s="781">
        <f t="shared" si="23"/>
        <v>939.4472985248766</v>
      </c>
      <c r="CC32" s="782">
        <f t="shared" si="24"/>
        <v>1</v>
      </c>
      <c r="CD32" s="783">
        <f t="shared" si="25"/>
        <v>939.4472985248766</v>
      </c>
      <c r="CE32" s="782">
        <f t="shared" si="26"/>
        <v>417.7031363698178</v>
      </c>
      <c r="CF32" s="782">
        <f t="shared" si="27"/>
        <v>417.7031363698178</v>
      </c>
      <c r="CI32" s="1583"/>
      <c r="CJ32" s="1593"/>
      <c r="CK32" s="1583"/>
      <c r="CL32" s="1599"/>
      <c r="CM32" s="1587" t="s">
        <v>347</v>
      </c>
      <c r="CN32" s="1587"/>
      <c r="CO32" s="765">
        <f t="shared" si="28"/>
        <v>0.44462647029343394</v>
      </c>
      <c r="CP32" s="825">
        <f t="shared" si="28"/>
        <v>29.902826341930005</v>
      </c>
      <c r="CQ32" s="765">
        <f>'SCE REF NTG'!AB32</f>
        <v>0.43779460716352392</v>
      </c>
      <c r="CR32" s="825" t="e">
        <f>'SCE REF NTG'!AC32</f>
        <v>#REF!</v>
      </c>
      <c r="CS32" s="765">
        <f>'SDGE REF NTG'!AB32</f>
        <v>0.49865385235942572</v>
      </c>
      <c r="CT32" s="825" t="e">
        <f>'SDGE REF NTG'!AC32</f>
        <v>#REF!</v>
      </c>
    </row>
    <row r="33" spans="1:98" ht="24" customHeight="1" thickBot="1">
      <c r="A33" s="60"/>
      <c r="B33" s="218"/>
      <c r="C33" s="219"/>
      <c r="D33" s="218"/>
      <c r="E33" s="51"/>
      <c r="F33" s="52"/>
      <c r="G33" s="52"/>
      <c r="H33" s="59"/>
      <c r="I33" s="256" t="s">
        <v>55</v>
      </c>
      <c r="J33" s="66">
        <f>SecMktProportions!D7</f>
        <v>42</v>
      </c>
      <c r="K33" s="304">
        <f>SecMktProportions!G7</f>
        <v>1.6114E-2</v>
      </c>
      <c r="L33" s="63" t="s">
        <v>65</v>
      </c>
      <c r="M33" s="257" t="s">
        <v>59</v>
      </c>
      <c r="N33" s="258">
        <v>1</v>
      </c>
      <c r="O33" s="259"/>
      <c r="P33" s="260"/>
      <c r="Q33" s="261"/>
      <c r="R33" s="259"/>
      <c r="S33" s="260" t="s">
        <v>68</v>
      </c>
      <c r="T33" s="658"/>
      <c r="U33" s="658"/>
      <c r="V33" s="1782"/>
      <c r="W33" s="1748"/>
      <c r="X33" s="1784" t="s">
        <v>342</v>
      </c>
      <c r="Y33" s="1781" t="s">
        <v>349</v>
      </c>
      <c r="Z33" s="1781"/>
      <c r="AA33" s="1781"/>
      <c r="AB33" s="749">
        <f>B16*F26*J33*N33</f>
        <v>20.350984131828003</v>
      </c>
      <c r="AC33" s="759">
        <f>100*AB33*SQRT(IF($B$16&gt;0,($C$16/$B$16/100)^2,0)+IF($F$26&gt;0,($G$26/$F$26/100)^2,0)+IF($J$26&gt;0,($K$26/$J$26/100)^2,0)+IF($N$33&gt;0,($O$33/$N$33/100)^2,0))</f>
        <v>174.13150196333456</v>
      </c>
      <c r="AD33" s="703">
        <f t="shared" si="0"/>
        <v>1035.9927015759845</v>
      </c>
      <c r="AE33" s="704">
        <f t="shared" si="1"/>
        <v>68.711769825167252</v>
      </c>
      <c r="AF33" s="701">
        <v>1</v>
      </c>
      <c r="AG33" s="702">
        <v>0</v>
      </c>
      <c r="AH33" s="709">
        <f t="shared" si="46"/>
        <v>1035.9927015759845</v>
      </c>
      <c r="AI33" s="710">
        <f t="shared" si="17"/>
        <v>68.711769825167252</v>
      </c>
      <c r="AJ33" s="709">
        <f>$AB$6</f>
        <v>783</v>
      </c>
      <c r="AK33" s="710">
        <f>$AC$6</f>
        <v>106</v>
      </c>
      <c r="AL33" s="701">
        <v>1</v>
      </c>
      <c r="AM33" s="702">
        <v>0</v>
      </c>
      <c r="AN33" s="709">
        <f t="shared" si="18"/>
        <v>783</v>
      </c>
      <c r="AO33" s="704">
        <f t="shared" si="19"/>
        <v>106.00000000000001</v>
      </c>
      <c r="AP33" s="711">
        <f t="shared" si="20"/>
        <v>252.99270157598448</v>
      </c>
      <c r="AQ33" s="751">
        <f t="shared" si="3"/>
        <v>126.32223601768126</v>
      </c>
      <c r="AR33" s="711">
        <v>1</v>
      </c>
      <c r="AS33" s="711">
        <f t="shared" si="4"/>
        <v>252.99270157598448</v>
      </c>
      <c r="AT33" s="751">
        <f t="shared" si="21"/>
        <v>126.32223601768126</v>
      </c>
      <c r="AU33" s="845">
        <f t="shared" si="5"/>
        <v>5148.6504552411579</v>
      </c>
      <c r="AV33" s="751">
        <f t="shared" si="6"/>
        <v>3664.7145148298873</v>
      </c>
      <c r="AW33" s="845">
        <f t="shared" si="7"/>
        <v>5148.6504552411579</v>
      </c>
      <c r="AX33" s="751">
        <f t="shared" si="8"/>
        <v>2608.2550974499727</v>
      </c>
      <c r="AY33" s="708">
        <f t="shared" si="32"/>
        <v>1</v>
      </c>
      <c r="AZ33" s="752">
        <f t="shared" si="31"/>
        <v>0.87365123830469937</v>
      </c>
      <c r="BB33" s="566"/>
      <c r="BC33" s="566"/>
      <c r="BD33" s="1583"/>
      <c r="BE33" s="1593"/>
      <c r="BF33" s="1583" t="s">
        <v>342</v>
      </c>
      <c r="BG33" s="1584" t="s">
        <v>349</v>
      </c>
      <c r="BH33" s="1585"/>
      <c r="BI33" s="1586"/>
      <c r="BJ33" s="765">
        <f t="shared" si="9"/>
        <v>20.350984131828003</v>
      </c>
      <c r="BK33" s="766">
        <f t="shared" si="10"/>
        <v>1035.9927015759845</v>
      </c>
      <c r="BL33" s="767">
        <f t="shared" si="11"/>
        <v>1</v>
      </c>
      <c r="BM33" s="766">
        <f t="shared" si="12"/>
        <v>1035.9927015759845</v>
      </c>
      <c r="BN33" s="766">
        <f t="shared" si="13"/>
        <v>783</v>
      </c>
      <c r="BO33" s="766">
        <f t="shared" si="14"/>
        <v>1</v>
      </c>
      <c r="BP33" s="766">
        <f t="shared" si="15"/>
        <v>783</v>
      </c>
      <c r="BQ33" s="766">
        <f t="shared" si="16"/>
        <v>252.99270157598448</v>
      </c>
      <c r="BU33" s="1583"/>
      <c r="BV33" s="1593"/>
      <c r="BW33" s="1583" t="s">
        <v>342</v>
      </c>
      <c r="BX33" s="1584" t="s">
        <v>349</v>
      </c>
      <c r="BY33" s="1585"/>
      <c r="BZ33" s="1586"/>
      <c r="CA33" s="765">
        <f t="shared" si="22"/>
        <v>20.350984131828003</v>
      </c>
      <c r="CB33" s="781">
        <f t="shared" si="23"/>
        <v>252.99270157598448</v>
      </c>
      <c r="CC33" s="782">
        <f t="shared" si="24"/>
        <v>1</v>
      </c>
      <c r="CD33" s="783">
        <f t="shared" si="25"/>
        <v>252.99270157598448</v>
      </c>
      <c r="CE33" s="782">
        <f t="shared" si="26"/>
        <v>5148.6504552411579</v>
      </c>
      <c r="CF33" s="782">
        <f t="shared" si="27"/>
        <v>5148.6504552411579</v>
      </c>
      <c r="CI33" s="1583"/>
      <c r="CJ33" s="1593"/>
      <c r="CK33" s="1583" t="s">
        <v>342</v>
      </c>
      <c r="CL33" s="1584" t="s">
        <v>349</v>
      </c>
      <c r="CM33" s="1585"/>
      <c r="CN33" s="1586"/>
      <c r="CO33" s="765">
        <f t="shared" si="28"/>
        <v>20.350984131828003</v>
      </c>
      <c r="CP33" s="825">
        <f t="shared" si="28"/>
        <v>174.13150196333456</v>
      </c>
      <c r="CQ33" s="765">
        <f>'SCE REF NTG'!AB33</f>
        <v>16.400179463849998</v>
      </c>
      <c r="CR33" s="825" t="e">
        <f>'SCE REF NTG'!AC33</f>
        <v>#REF!</v>
      </c>
      <c r="CS33" s="765">
        <f>'SDGE REF NTG'!AB33</f>
        <v>11.629328129412</v>
      </c>
      <c r="CT33" s="825" t="e">
        <f>'SDGE REF NTG'!AC33</f>
        <v>#REF!</v>
      </c>
    </row>
    <row r="34" spans="1:98" ht="15" thickBot="1">
      <c r="A34" s="60"/>
      <c r="B34" s="218"/>
      <c r="C34" s="219"/>
      <c r="D34" s="218"/>
      <c r="E34" s="51"/>
      <c r="F34" s="52"/>
      <c r="G34" s="52"/>
      <c r="H34" s="59"/>
      <c r="I34" s="256" t="s">
        <v>56</v>
      </c>
      <c r="J34" s="66">
        <f>SecMktProportions!D8</f>
        <v>42</v>
      </c>
      <c r="K34" s="304">
        <f>SecMktProportions!G8</f>
        <v>8.9619999999999995E-3</v>
      </c>
      <c r="L34" s="63" t="s">
        <v>65</v>
      </c>
      <c r="M34" s="257" t="s">
        <v>59</v>
      </c>
      <c r="N34" s="258">
        <v>1</v>
      </c>
      <c r="O34" s="259"/>
      <c r="P34" s="260"/>
      <c r="Q34" s="261"/>
      <c r="R34" s="259"/>
      <c r="S34" s="260" t="s">
        <v>68</v>
      </c>
      <c r="T34" s="658"/>
      <c r="U34" s="658"/>
      <c r="V34" s="1782"/>
      <c r="W34" s="1748"/>
      <c r="X34" s="1784"/>
      <c r="Y34" s="1781" t="s">
        <v>350</v>
      </c>
      <c r="Z34" s="1781"/>
      <c r="AA34" s="1781"/>
      <c r="AB34" s="749">
        <f>B16*F26*J34*N34</f>
        <v>20.350984131828003</v>
      </c>
      <c r="AC34" s="759">
        <f>100*AB34*SQRT(IF($B$16&gt;0,($C$16/$B$16/100)^2,0)+IF($F$26&gt;0,($G$26/$F$26/100)^2,0)+IF($J$26&gt;0,($K$26/$J$26/100)^2,0)+IF($N$33&gt;0,($O$33/$N$33/100)^2,0))</f>
        <v>174.13150196333456</v>
      </c>
      <c r="AD34" s="703">
        <f t="shared" si="0"/>
        <v>1035.9927015759845</v>
      </c>
      <c r="AE34" s="704">
        <f t="shared" si="1"/>
        <v>68.711769825167252</v>
      </c>
      <c r="AF34" s="701">
        <v>1</v>
      </c>
      <c r="AG34" s="702">
        <v>0</v>
      </c>
      <c r="AH34" s="709">
        <f t="shared" si="46"/>
        <v>1035.9927015759845</v>
      </c>
      <c r="AI34" s="710">
        <f t="shared" si="17"/>
        <v>68.711769825167252</v>
      </c>
      <c r="AJ34" s="709">
        <f>$AB$6</f>
        <v>783</v>
      </c>
      <c r="AK34" s="710">
        <f>$AC$6</f>
        <v>106</v>
      </c>
      <c r="AL34" s="701">
        <v>1</v>
      </c>
      <c r="AM34" s="702">
        <v>0</v>
      </c>
      <c r="AN34" s="709">
        <f t="shared" si="18"/>
        <v>783</v>
      </c>
      <c r="AO34" s="704">
        <f t="shared" si="19"/>
        <v>106.00000000000001</v>
      </c>
      <c r="AP34" s="711">
        <f t="shared" si="20"/>
        <v>252.99270157598448</v>
      </c>
      <c r="AQ34" s="751">
        <f t="shared" si="3"/>
        <v>126.32223601768126</v>
      </c>
      <c r="AR34" s="711">
        <v>1</v>
      </c>
      <c r="AS34" s="711">
        <f t="shared" si="4"/>
        <v>252.99270157598448</v>
      </c>
      <c r="AT34" s="751">
        <f t="shared" si="21"/>
        <v>126.32223601768126</v>
      </c>
      <c r="AU34" s="845">
        <f t="shared" si="5"/>
        <v>5148.6504552411579</v>
      </c>
      <c r="AV34" s="751">
        <f t="shared" si="6"/>
        <v>3664.7145148298873</v>
      </c>
      <c r="AW34" s="845">
        <f t="shared" si="7"/>
        <v>5148.6504552411579</v>
      </c>
      <c r="AX34" s="751">
        <f t="shared" si="8"/>
        <v>2608.2550974499727</v>
      </c>
      <c r="AY34" s="708">
        <f t="shared" si="32"/>
        <v>1</v>
      </c>
      <c r="AZ34" s="752">
        <f t="shared" si="31"/>
        <v>0.87365123830469937</v>
      </c>
      <c r="BB34" s="566"/>
      <c r="BC34" s="566"/>
      <c r="BD34" s="1583"/>
      <c r="BE34" s="1593"/>
      <c r="BF34" s="1583"/>
      <c r="BG34" s="1575" t="s">
        <v>350</v>
      </c>
      <c r="BH34" s="1575"/>
      <c r="BI34" s="1575"/>
      <c r="BJ34" s="765">
        <f t="shared" si="9"/>
        <v>20.350984131828003</v>
      </c>
      <c r="BK34" s="766">
        <f t="shared" si="10"/>
        <v>1035.9927015759845</v>
      </c>
      <c r="BL34" s="767">
        <f t="shared" si="11"/>
        <v>1</v>
      </c>
      <c r="BM34" s="766">
        <f t="shared" si="12"/>
        <v>1035.9927015759845</v>
      </c>
      <c r="BN34" s="766">
        <f t="shared" si="13"/>
        <v>783</v>
      </c>
      <c r="BO34" s="766">
        <f t="shared" si="14"/>
        <v>1</v>
      </c>
      <c r="BP34" s="766">
        <f t="shared" si="15"/>
        <v>783</v>
      </c>
      <c r="BQ34" s="766">
        <f t="shared" si="16"/>
        <v>252.99270157598448</v>
      </c>
      <c r="BU34" s="1583"/>
      <c r="BV34" s="1593"/>
      <c r="BW34" s="1583"/>
      <c r="BX34" s="1575" t="s">
        <v>350</v>
      </c>
      <c r="BY34" s="1575"/>
      <c r="BZ34" s="1575"/>
      <c r="CA34" s="765">
        <f t="shared" si="22"/>
        <v>20.350984131828003</v>
      </c>
      <c r="CB34" s="781">
        <f t="shared" si="23"/>
        <v>252.99270157598448</v>
      </c>
      <c r="CC34" s="782">
        <f t="shared" si="24"/>
        <v>1</v>
      </c>
      <c r="CD34" s="783">
        <f t="shared" si="25"/>
        <v>252.99270157598448</v>
      </c>
      <c r="CE34" s="782">
        <f t="shared" si="26"/>
        <v>5148.6504552411579</v>
      </c>
      <c r="CF34" s="782">
        <f t="shared" si="27"/>
        <v>5148.6504552411579</v>
      </c>
      <c r="CI34" s="1583"/>
      <c r="CJ34" s="1593"/>
      <c r="CK34" s="1583"/>
      <c r="CL34" s="1575" t="s">
        <v>350</v>
      </c>
      <c r="CM34" s="1575"/>
      <c r="CN34" s="1575"/>
      <c r="CO34" s="765">
        <f t="shared" si="28"/>
        <v>20.350984131828003</v>
      </c>
      <c r="CP34" s="825">
        <f t="shared" si="28"/>
        <v>174.13150196333456</v>
      </c>
      <c r="CQ34" s="765">
        <f>'SCE REF NTG'!AB34</f>
        <v>16.400179463849998</v>
      </c>
      <c r="CR34" s="825" t="e">
        <f>'SCE REF NTG'!AC34</f>
        <v>#REF!</v>
      </c>
      <c r="CS34" s="765">
        <f>'SDGE REF NTG'!AB34</f>
        <v>11.629328129412</v>
      </c>
      <c r="CT34" s="825" t="e">
        <f>'SDGE REF NTG'!AC34</f>
        <v>#REF!</v>
      </c>
    </row>
    <row r="35" spans="1:98" ht="15" thickBot="1">
      <c r="A35" s="60"/>
      <c r="B35" s="218"/>
      <c r="C35" s="219"/>
      <c r="D35" s="218"/>
      <c r="E35" s="51"/>
      <c r="F35" s="52"/>
      <c r="G35" s="52"/>
      <c r="H35" s="59"/>
      <c r="I35" s="256" t="s">
        <v>57</v>
      </c>
      <c r="J35" s="66">
        <f>SecMktProportions!D9</f>
        <v>42</v>
      </c>
      <c r="K35" s="304">
        <f>SecMktProportions!G9</f>
        <v>6.0520000000000001E-3</v>
      </c>
      <c r="L35" s="63" t="s">
        <v>65</v>
      </c>
      <c r="M35" s="257" t="s">
        <v>59</v>
      </c>
      <c r="N35" s="258">
        <v>1</v>
      </c>
      <c r="O35" s="259"/>
      <c r="P35" s="260"/>
      <c r="Q35" s="261"/>
      <c r="R35" s="259"/>
      <c r="S35" s="260" t="s">
        <v>68</v>
      </c>
      <c r="T35" s="658"/>
      <c r="U35" s="658"/>
      <c r="V35" s="1782"/>
      <c r="W35" s="1748"/>
      <c r="X35" s="1784"/>
      <c r="Y35" s="1781" t="s">
        <v>57</v>
      </c>
      <c r="Z35" s="1781"/>
      <c r="AA35" s="1781"/>
      <c r="AB35" s="749">
        <f>B16*F26*J35*N35</f>
        <v>20.350984131828003</v>
      </c>
      <c r="AC35" s="759">
        <f>100*AB35*SQRT(IF($B$16&gt;0,($C$16/$B$16/100)^2,0)+IF($F$26&gt;0,($G$26/$F$26/100)^2,0)+IF($J$26&gt;0,($K$26/$J$26/100)^2,0)+IF($N$33&gt;0,($O$33/$N$33/100)^2,0))</f>
        <v>174.13150196333456</v>
      </c>
      <c r="AD35" s="703">
        <f t="shared" si="0"/>
        <v>1035.9927015759845</v>
      </c>
      <c r="AE35" s="704">
        <f t="shared" si="1"/>
        <v>68.711769825167252</v>
      </c>
      <c r="AF35" s="701">
        <v>1</v>
      </c>
      <c r="AG35" s="702">
        <v>0</v>
      </c>
      <c r="AH35" s="709">
        <f t="shared" si="46"/>
        <v>1035.9927015759845</v>
      </c>
      <c r="AI35" s="710">
        <f t="shared" si="17"/>
        <v>68.711769825167252</v>
      </c>
      <c r="AJ35" s="709">
        <f>$AB$6</f>
        <v>783</v>
      </c>
      <c r="AK35" s="710">
        <f>$AC$6</f>
        <v>106</v>
      </c>
      <c r="AL35" s="701">
        <v>1</v>
      </c>
      <c r="AM35" s="702">
        <v>0</v>
      </c>
      <c r="AN35" s="709">
        <f t="shared" si="18"/>
        <v>783</v>
      </c>
      <c r="AO35" s="704">
        <f t="shared" si="19"/>
        <v>106.00000000000001</v>
      </c>
      <c r="AP35" s="711">
        <f t="shared" si="20"/>
        <v>252.99270157598448</v>
      </c>
      <c r="AQ35" s="751">
        <f t="shared" si="3"/>
        <v>126.32223601768126</v>
      </c>
      <c r="AR35" s="711">
        <v>1</v>
      </c>
      <c r="AS35" s="711">
        <f t="shared" si="4"/>
        <v>252.99270157598448</v>
      </c>
      <c r="AT35" s="751">
        <f t="shared" si="21"/>
        <v>126.32223601768126</v>
      </c>
      <c r="AU35" s="845">
        <f t="shared" si="5"/>
        <v>5148.6504552411579</v>
      </c>
      <c r="AV35" s="751">
        <f t="shared" si="6"/>
        <v>3664.7145148298873</v>
      </c>
      <c r="AW35" s="845">
        <f t="shared" si="7"/>
        <v>5148.6504552411579</v>
      </c>
      <c r="AX35" s="751">
        <f t="shared" si="8"/>
        <v>2608.2550974499727</v>
      </c>
      <c r="AY35" s="708">
        <f t="shared" si="32"/>
        <v>1</v>
      </c>
      <c r="AZ35" s="752">
        <f t="shared" si="31"/>
        <v>0.87365123830469937</v>
      </c>
      <c r="BB35" s="566"/>
      <c r="BC35" s="566"/>
      <c r="BD35" s="1583"/>
      <c r="BE35" s="1593"/>
      <c r="BF35" s="1583"/>
      <c r="BG35" s="1575" t="s">
        <v>57</v>
      </c>
      <c r="BH35" s="1575"/>
      <c r="BI35" s="1575"/>
      <c r="BJ35" s="765">
        <f t="shared" si="9"/>
        <v>20.350984131828003</v>
      </c>
      <c r="BK35" s="766">
        <f t="shared" si="10"/>
        <v>1035.9927015759845</v>
      </c>
      <c r="BL35" s="767">
        <f t="shared" si="11"/>
        <v>1</v>
      </c>
      <c r="BM35" s="766">
        <f t="shared" si="12"/>
        <v>1035.9927015759845</v>
      </c>
      <c r="BN35" s="766">
        <f t="shared" si="13"/>
        <v>783</v>
      </c>
      <c r="BO35" s="766">
        <f t="shared" si="14"/>
        <v>1</v>
      </c>
      <c r="BP35" s="766">
        <f t="shared" si="15"/>
        <v>783</v>
      </c>
      <c r="BQ35" s="766">
        <f t="shared" si="16"/>
        <v>252.99270157598448</v>
      </c>
      <c r="BU35" s="1583"/>
      <c r="BV35" s="1593"/>
      <c r="BW35" s="1583"/>
      <c r="BX35" s="1575" t="s">
        <v>57</v>
      </c>
      <c r="BY35" s="1575"/>
      <c r="BZ35" s="1575"/>
      <c r="CA35" s="765">
        <f t="shared" si="22"/>
        <v>20.350984131828003</v>
      </c>
      <c r="CB35" s="781">
        <f t="shared" si="23"/>
        <v>252.99270157598448</v>
      </c>
      <c r="CC35" s="782">
        <f t="shared" si="24"/>
        <v>1</v>
      </c>
      <c r="CD35" s="783">
        <f t="shared" si="25"/>
        <v>252.99270157598448</v>
      </c>
      <c r="CE35" s="782">
        <f t="shared" si="26"/>
        <v>5148.6504552411579</v>
      </c>
      <c r="CF35" s="782">
        <f t="shared" si="27"/>
        <v>5148.6504552411579</v>
      </c>
      <c r="CI35" s="1583"/>
      <c r="CJ35" s="1593"/>
      <c r="CK35" s="1583"/>
      <c r="CL35" s="1575" t="s">
        <v>57</v>
      </c>
      <c r="CM35" s="1575"/>
      <c r="CN35" s="1575"/>
      <c r="CO35" s="765">
        <f t="shared" si="28"/>
        <v>20.350984131828003</v>
      </c>
      <c r="CP35" s="825">
        <f t="shared" si="28"/>
        <v>174.13150196333456</v>
      </c>
      <c r="CQ35" s="765">
        <f>'SCE REF NTG'!AB35</f>
        <v>16.400179463849998</v>
      </c>
      <c r="CR35" s="825" t="e">
        <f>'SCE REF NTG'!AC35</f>
        <v>#REF!</v>
      </c>
      <c r="CS35" s="765">
        <f>'SDGE REF NTG'!AB35</f>
        <v>11.629328129412</v>
      </c>
      <c r="CT35" s="825" t="e">
        <f>'SDGE REF NTG'!AC35</f>
        <v>#REF!</v>
      </c>
    </row>
    <row r="36" spans="1:98" ht="15" thickBot="1">
      <c r="A36" s="220"/>
      <c r="B36" s="221"/>
      <c r="C36" s="222"/>
      <c r="D36" s="221"/>
      <c r="E36" s="53"/>
      <c r="F36" s="54"/>
      <c r="G36" s="54"/>
      <c r="H36" s="58"/>
      <c r="I36" s="256" t="s">
        <v>58</v>
      </c>
      <c r="J36" s="66">
        <f>SecMktProportions!D10</f>
        <v>42</v>
      </c>
      <c r="K36" s="304">
        <f>SecMktProportions!G10</f>
        <v>0.10274</v>
      </c>
      <c r="L36" s="63" t="s">
        <v>65</v>
      </c>
      <c r="M36" s="257"/>
      <c r="N36" s="260"/>
      <c r="O36" s="259"/>
      <c r="P36" s="260"/>
      <c r="Q36" s="260"/>
      <c r="R36" s="262"/>
      <c r="S36" s="260"/>
      <c r="T36" s="658"/>
      <c r="U36" s="658"/>
      <c r="V36" s="1782"/>
      <c r="W36" s="1748"/>
      <c r="X36" s="1780" t="s">
        <v>266</v>
      </c>
      <c r="Y36" s="1780"/>
      <c r="Z36" s="1780"/>
      <c r="AA36" s="1780"/>
      <c r="AB36" s="749">
        <f>B16*F26*J36</f>
        <v>20.350984131828003</v>
      </c>
      <c r="AC36" s="759">
        <f>100*AB36*SQRT(IF($B$16&gt;0,($C$16/$B$16/100)^2,0)+IF($F$26&gt;0,($G$26/$F$26/100)^2,0)+IF($J$26&gt;0,($K$26/$J$26/100)^2,0)+IF($N$33&gt;0,($O$33/$N$33/100)^2,0))</f>
        <v>174.13150196333456</v>
      </c>
      <c r="AD36" s="709">
        <f>SUMPRODUCT(AD$17:AD$35,$AB$17:$AB$35)/SUM($AB$17:$AB$35)</f>
        <v>1035.9927015759847</v>
      </c>
      <c r="AE36" s="709">
        <f t="shared" ref="AE36:AO36" si="61">SUMPRODUCT(AE$17:AE$35,$AB$17:$AB$35)/SUM($AB$17:$AB$35)</f>
        <v>68.711769825167238</v>
      </c>
      <c r="AF36" s="701">
        <f t="shared" si="61"/>
        <v>0.99856929877701084</v>
      </c>
      <c r="AG36" s="709">
        <f t="shared" si="61"/>
        <v>5.4084998932229177E-4</v>
      </c>
      <c r="AH36" s="709">
        <f t="shared" si="61"/>
        <v>1034.510505550832</v>
      </c>
      <c r="AI36" s="709">
        <f t="shared" si="61"/>
        <v>68.613480222189551</v>
      </c>
      <c r="AJ36" s="709">
        <v>457</v>
      </c>
      <c r="AK36" s="709">
        <f t="shared" si="61"/>
        <v>97.413712407143677</v>
      </c>
      <c r="AL36" s="701">
        <f t="shared" si="61"/>
        <v>0.99856929877701084</v>
      </c>
      <c r="AM36" s="709">
        <f t="shared" si="61"/>
        <v>5.4084998932229177E-4</v>
      </c>
      <c r="AN36" s="709">
        <v>454</v>
      </c>
      <c r="AO36" s="709">
        <f t="shared" si="61"/>
        <v>97.359772183649781</v>
      </c>
      <c r="AP36" s="711">
        <f t="shared" si="20"/>
        <v>580.51050555083202</v>
      </c>
      <c r="AQ36" s="751">
        <f t="shared" si="3"/>
        <v>119.10808078318189</v>
      </c>
      <c r="AR36" s="711">
        <v>0</v>
      </c>
      <c r="AS36" s="711">
        <f t="shared" si="4"/>
        <v>0</v>
      </c>
      <c r="AT36" s="751">
        <f t="shared" si="21"/>
        <v>119.10808078318189</v>
      </c>
      <c r="AU36" s="845">
        <f t="shared" si="5"/>
        <v>11813.960086824434</v>
      </c>
      <c r="AV36" s="751">
        <f t="shared" si="6"/>
        <v>5445.9587291745447</v>
      </c>
      <c r="AW36" s="845">
        <f t="shared" si="7"/>
        <v>0</v>
      </c>
      <c r="AX36" s="751">
        <f t="shared" si="8"/>
        <v>0</v>
      </c>
      <c r="AY36" s="708">
        <f t="shared" si="32"/>
        <v>0</v>
      </c>
      <c r="AZ36" s="752">
        <f t="shared" si="31"/>
        <v>0</v>
      </c>
      <c r="BB36" s="566"/>
      <c r="BC36" s="566"/>
      <c r="BD36" s="1583"/>
      <c r="BE36" s="1594"/>
      <c r="BF36" s="1587" t="s">
        <v>266</v>
      </c>
      <c r="BG36" s="1587"/>
      <c r="BH36" s="1587"/>
      <c r="BI36" s="1587"/>
      <c r="BJ36" s="765">
        <f t="shared" si="9"/>
        <v>20.350984131828003</v>
      </c>
      <c r="BK36" s="766">
        <f t="shared" si="10"/>
        <v>1035.9927015759847</v>
      </c>
      <c r="BL36" s="767">
        <f t="shared" si="11"/>
        <v>0.99856929877701084</v>
      </c>
      <c r="BM36" s="766">
        <f t="shared" si="12"/>
        <v>1034.510505550832</v>
      </c>
      <c r="BN36" s="766">
        <f t="shared" si="13"/>
        <v>457</v>
      </c>
      <c r="BO36" s="766">
        <f t="shared" si="14"/>
        <v>0.99856929877701084</v>
      </c>
      <c r="BP36" s="766">
        <f t="shared" si="15"/>
        <v>454</v>
      </c>
      <c r="BQ36" s="766">
        <f t="shared" si="16"/>
        <v>580.51050555083202</v>
      </c>
      <c r="BU36" s="1592"/>
      <c r="BV36" s="1593"/>
      <c r="BW36" s="1588" t="s">
        <v>266</v>
      </c>
      <c r="BX36" s="1588"/>
      <c r="BY36" s="1588"/>
      <c r="BZ36" s="1588"/>
      <c r="CA36" s="794">
        <f t="shared" si="22"/>
        <v>20.350984131828003</v>
      </c>
      <c r="CB36" s="795">
        <f t="shared" si="23"/>
        <v>580.51050555083202</v>
      </c>
      <c r="CC36" s="796">
        <f t="shared" si="24"/>
        <v>0</v>
      </c>
      <c r="CD36" s="797">
        <f t="shared" si="25"/>
        <v>0</v>
      </c>
      <c r="CE36" s="782">
        <f t="shared" si="26"/>
        <v>11813.960086824434</v>
      </c>
      <c r="CF36" s="782">
        <f t="shared" si="27"/>
        <v>0</v>
      </c>
      <c r="CI36" s="1592"/>
      <c r="CJ36" s="1593"/>
      <c r="CK36" s="1588" t="s">
        <v>266</v>
      </c>
      <c r="CL36" s="1588"/>
      <c r="CM36" s="1588"/>
      <c r="CN36" s="1588"/>
      <c r="CO36" s="765">
        <f t="shared" si="28"/>
        <v>20.350984131828003</v>
      </c>
      <c r="CP36" s="825">
        <f t="shared" si="28"/>
        <v>174.13150196333456</v>
      </c>
      <c r="CQ36" s="765">
        <f>'SCE REF NTG'!AB36</f>
        <v>16.400179463849998</v>
      </c>
      <c r="CR36" s="825" t="e">
        <f>'SCE REF NTG'!AC36</f>
        <v>#REF!</v>
      </c>
      <c r="CS36" s="765">
        <f>'SDGE REF NTG'!AB36</f>
        <v>11.629328129412</v>
      </c>
      <c r="CT36" s="825" t="e">
        <f>'SDGE REF NTG'!AC36</f>
        <v>#REF!</v>
      </c>
    </row>
    <row r="37" spans="1:98" ht="15" customHeight="1" thickBot="1">
      <c r="Z37" s="432" t="s">
        <v>5</v>
      </c>
      <c r="AA37" s="432"/>
      <c r="AB37" s="419">
        <f>SUM(AB14:AB36)</f>
        <v>98.27754593250404</v>
      </c>
      <c r="AC37" s="524"/>
      <c r="AD37" s="709">
        <f>SUMPRODUCT($AB14:$AB36,AD14:AD36)/SUM(AB14:AB36)</f>
        <v>1035.9927015759847</v>
      </c>
      <c r="AE37" s="625"/>
      <c r="AF37" s="701">
        <f>SUMPRODUCT($AB14:$AB36,AF14:AF36)</f>
        <v>98.095813778238778</v>
      </c>
      <c r="AG37" s="625"/>
      <c r="AH37" s="709">
        <f>SUMPRODUCT($AB14:$AB36,AH14:AH36)</f>
        <v>101626.5471294123</v>
      </c>
      <c r="AI37" s="703"/>
      <c r="AJ37" s="709">
        <f>SUMPRODUCT($AB14:$AB36,AJ14:AJ36)</f>
        <v>67999.763686500635</v>
      </c>
      <c r="AK37" s="625"/>
      <c r="AL37" s="701">
        <f>SUMPRODUCT($AB14:$AB36,AL14:AL36)</f>
        <v>97.978874104332405</v>
      </c>
      <c r="AM37" s="703"/>
      <c r="AN37" s="709">
        <f>SUMPRODUCT($AB14:$AB36,AN14:AN36)</f>
        <v>67748.059063246576</v>
      </c>
      <c r="AO37" s="703"/>
      <c r="AP37" s="709">
        <f>SUMPRODUCT($AB14:$AB36,AP14:AP36)</f>
        <v>33878.488066165693</v>
      </c>
      <c r="AQ37" s="625"/>
      <c r="AR37" s="701"/>
      <c r="AS37" s="709">
        <f>SUMPRODUCT($AB14:$AB36,AS14:AS36)</f>
        <v>21958.30553632832</v>
      </c>
      <c r="AT37" s="625"/>
      <c r="AU37" s="760">
        <f>SUM(AU14:AU36)</f>
        <v>33878.488066165693</v>
      </c>
      <c r="AV37" s="761">
        <f>SQRT(AV14^2+AV15^2+AV16^2+AV17^2+AV18^2+AV19^2+AV20^2+AV22^2+AV23^2+AV24^2+AV25^2+AV26^2+AV27^2+AV28^2+AV30^2+AV31^2+AV32^2+AV33^2+AV34^2+AV35^2+AV36^2)</f>
        <v>8648.3122374502036</v>
      </c>
      <c r="AW37" s="762">
        <f>SUM(AW14:AW36)</f>
        <v>21958.30553632832</v>
      </c>
      <c r="AX37" s="761">
        <f>SQRT(AX14^2+AX15^2+AX16^2+AX17^2+AX18^2+AX19^2+AX20^2+AX22^2+AX23^2+AX24^2+AX25^2+AX26^2+AX27^2+AX28^2+AX30^2+AX31^2+AX32^2+AX33^2+AX34^2+AX35^2+AX36^2)</f>
        <v>4757.7481695840916</v>
      </c>
      <c r="AY37" s="763">
        <f>AW37/AU37</f>
        <v>0.64814892250926592</v>
      </c>
      <c r="AZ37" s="764">
        <f>AY37*SQRT(IF(AU37&gt;0,(AV37/AU37)^2,0)+IF(AW37&gt;0,(AX37/AW37)^2,0))</f>
        <v>0.21702031664631943</v>
      </c>
      <c r="BB37" s="626"/>
      <c r="BC37" s="626"/>
      <c r="BD37" s="1792" t="s">
        <v>533</v>
      </c>
      <c r="BE37" s="1793"/>
      <c r="BF37" s="1793"/>
      <c r="BG37" s="1793"/>
      <c r="BH37" s="1793"/>
      <c r="BI37" s="1793"/>
      <c r="BJ37" s="1794"/>
      <c r="BK37" s="784">
        <f>SUMPRODUCT(BK14:BK36,$BJ$14:$BJ$36)</f>
        <v>101814.82031487279</v>
      </c>
      <c r="BL37" s="784">
        <f t="shared" ref="BL37:BQ37" si="62">SUMPRODUCT(BL14:BL36,$BJ$14:$BJ$36)</f>
        <v>98.095813778238778</v>
      </c>
      <c r="BM37" s="784">
        <f t="shared" si="62"/>
        <v>101626.5471294123</v>
      </c>
      <c r="BN37" s="784">
        <f t="shared" si="62"/>
        <v>67999.763686500635</v>
      </c>
      <c r="BO37" s="784">
        <f t="shared" si="62"/>
        <v>97.978874104332405</v>
      </c>
      <c r="BP37" s="784">
        <f t="shared" si="62"/>
        <v>67748.059063246576</v>
      </c>
      <c r="BQ37" s="784">
        <f t="shared" si="62"/>
        <v>33878.488066165693</v>
      </c>
      <c r="BU37" s="1795" t="s">
        <v>541</v>
      </c>
      <c r="BV37" s="1796"/>
      <c r="BW37" s="1796"/>
      <c r="BX37" s="1796"/>
      <c r="BY37" s="1796"/>
      <c r="BZ37" s="1796"/>
      <c r="CA37" s="1796"/>
      <c r="CB37" s="1796"/>
      <c r="CC37" s="1796"/>
      <c r="CD37" s="1797"/>
      <c r="CE37" s="793">
        <f>SUM(CE14:CE36)</f>
        <v>33878.488066165693</v>
      </c>
      <c r="CF37" s="785">
        <f>SUM(CF14:CF36)</f>
        <v>21958.30553632832</v>
      </c>
      <c r="CI37" s="1613" t="s">
        <v>5</v>
      </c>
      <c r="CJ37" s="1614"/>
      <c r="CK37" s="1614"/>
      <c r="CL37" s="1614"/>
      <c r="CM37" s="1614"/>
      <c r="CN37" s="1615"/>
      <c r="CO37" s="433">
        <f>SUM(CO14:CO36)</f>
        <v>98.27754593250404</v>
      </c>
      <c r="CP37" s="826"/>
      <c r="CQ37" s="433">
        <f>SUM(CQ14:CQ36)</f>
        <v>79.309430844936301</v>
      </c>
      <c r="CR37" s="826"/>
      <c r="CS37" s="433">
        <f>SUM(CS14:CS36)</f>
        <v>57.76993730148925</v>
      </c>
      <c r="CT37" s="826"/>
    </row>
    <row r="38" spans="1:98" ht="28.2" customHeight="1" thickBot="1">
      <c r="BJ38" s="643"/>
      <c r="BU38" s="1795" t="s">
        <v>542</v>
      </c>
      <c r="BV38" s="1796"/>
      <c r="BW38" s="1796"/>
      <c r="BX38" s="1796"/>
      <c r="BY38" s="1796"/>
      <c r="BZ38" s="1796"/>
      <c r="CA38" s="1796"/>
      <c r="CB38" s="1796"/>
      <c r="CC38" s="1796"/>
      <c r="CD38" s="1797"/>
      <c r="CE38" s="1939">
        <f>CF37/CE37</f>
        <v>0.64814892250926592</v>
      </c>
      <c r="CF38" s="1940"/>
    </row>
    <row r="39" spans="1:98">
      <c r="P39" s="11">
        <f>'Part Keep-Discard'!$B$14</f>
        <v>234</v>
      </c>
      <c r="AN39" s="1774" t="s">
        <v>283</v>
      </c>
      <c r="AO39" s="1776" t="s">
        <v>179</v>
      </c>
      <c r="AP39" s="1778" t="s">
        <v>2</v>
      </c>
      <c r="AT39" s="450" t="s">
        <v>278</v>
      </c>
      <c r="AU39" s="451">
        <f>AV37*AU43</f>
        <v>14380.114784133864</v>
      </c>
      <c r="AV39" s="450" t="s">
        <v>278</v>
      </c>
      <c r="AW39" s="451">
        <f>AX37*AW43</f>
        <v>7911.0192733736822</v>
      </c>
      <c r="AX39" s="450" t="s">
        <v>278</v>
      </c>
      <c r="AY39" s="421">
        <f>AZ37*AY43</f>
        <v>0.38044754328934494</v>
      </c>
      <c r="BB39" s="419"/>
    </row>
    <row r="40" spans="1:98" ht="15" thickBot="1">
      <c r="P40" s="1808">
        <v>123</v>
      </c>
      <c r="Q40" s="11">
        <v>147</v>
      </c>
      <c r="AN40" s="1775"/>
      <c r="AO40" s="1777"/>
      <c r="AP40" s="1779"/>
      <c r="AT40" s="11" t="s">
        <v>279</v>
      </c>
      <c r="AU40" s="452">
        <f>AU37-AU39</f>
        <v>19498.373282031829</v>
      </c>
      <c r="AV40" s="11" t="s">
        <v>279</v>
      </c>
      <c r="AW40" s="452">
        <f>AW37-AW39</f>
        <v>14047.286262954638</v>
      </c>
      <c r="AX40" s="11" t="s">
        <v>279</v>
      </c>
      <c r="AY40" s="418">
        <f>AY37-AY39</f>
        <v>0.26770137921992099</v>
      </c>
      <c r="BD40" s="643"/>
    </row>
    <row r="41" spans="1:98" ht="15" thickBot="1">
      <c r="O41" s="123"/>
      <c r="P41" s="1808"/>
      <c r="Q41" s="11">
        <v>47</v>
      </c>
      <c r="AN41" s="459" t="s">
        <v>284</v>
      </c>
      <c r="AO41" s="454" t="s">
        <v>17</v>
      </c>
      <c r="AP41" s="455">
        <v>6</v>
      </c>
      <c r="AT41" s="11" t="s">
        <v>280</v>
      </c>
      <c r="AU41" s="452">
        <f>AU37+AU39</f>
        <v>48258.602850299561</v>
      </c>
      <c r="AV41" s="11" t="s">
        <v>280</v>
      </c>
      <c r="AW41" s="452">
        <f>AW37+AW39</f>
        <v>29869.324809702004</v>
      </c>
      <c r="AX41" s="11" t="s">
        <v>280</v>
      </c>
      <c r="AY41" s="418">
        <f>AY37+AY39</f>
        <v>1.0285964657986109</v>
      </c>
    </row>
    <row r="42" spans="1:98" ht="15" thickBot="1">
      <c r="Q42" s="11">
        <v>101</v>
      </c>
      <c r="V42" s="11" t="s">
        <v>17</v>
      </c>
      <c r="W42" s="11" t="s">
        <v>18</v>
      </c>
      <c r="X42" s="11" t="s">
        <v>4</v>
      </c>
      <c r="Y42" s="11" t="s">
        <v>381</v>
      </c>
      <c r="AN42" s="459" t="s">
        <v>284</v>
      </c>
      <c r="AO42" s="454" t="s">
        <v>18</v>
      </c>
      <c r="AP42" s="455">
        <v>15</v>
      </c>
      <c r="AT42" s="432" t="s">
        <v>286</v>
      </c>
      <c r="AU42" s="421">
        <f>AU39/AU37</f>
        <v>0.42446152721010078</v>
      </c>
      <c r="AW42" s="421">
        <f>AW39/AW37</f>
        <v>0.36027457857736389</v>
      </c>
      <c r="AY42" s="421">
        <f>AY39/AY37</f>
        <v>0.58697550837000134</v>
      </c>
    </row>
    <row r="43" spans="1:98" ht="15" thickBot="1">
      <c r="S43" s="11" t="s">
        <v>377</v>
      </c>
      <c r="V43" s="419">
        <f>AB16</f>
        <v>0.18298108647000003</v>
      </c>
      <c r="W43" s="421">
        <f>'SCE REF NTG'!AB16</f>
        <v>0.171631038475</v>
      </c>
      <c r="X43" s="421">
        <f>'SDGE REF NTG'!AB16</f>
        <v>0.22879541821899999</v>
      </c>
      <c r="Y43" s="419">
        <f>SUM(V43:X43)/Y$48</f>
        <v>2.4788204988460535E-3</v>
      </c>
      <c r="Z43" s="566">
        <f>V43*AB$45</f>
        <v>10347065.254106656</v>
      </c>
      <c r="AA43" s="566"/>
      <c r="AN43" s="459" t="s">
        <v>284</v>
      </c>
      <c r="AO43" s="454" t="s">
        <v>4</v>
      </c>
      <c r="AP43" s="455">
        <v>1</v>
      </c>
      <c r="AU43" s="11">
        <f>TINV(0.1,AU45)</f>
        <v>1.662765449409072</v>
      </c>
      <c r="AW43" s="11">
        <f>TINV(0.1,AU45)</f>
        <v>1.662765449409072</v>
      </c>
      <c r="AY43" s="11">
        <f>TINV(0.1,AY45)</f>
        <v>1.7530503556925723</v>
      </c>
    </row>
    <row r="44" spans="1:98" ht="15" thickBot="1">
      <c r="C44" s="42"/>
      <c r="D44" s="42"/>
      <c r="S44" s="11" t="s">
        <v>31</v>
      </c>
      <c r="V44" s="419">
        <f>AB14+AB15</f>
        <v>0.14147799999999999</v>
      </c>
      <c r="W44" s="421">
        <f>SUM('SCE REF NTG'!AB14:AB15)</f>
        <v>0.17716499999999999</v>
      </c>
      <c r="X44" s="421">
        <f>SUM('SDGE REF NTG'!AB14:AB15)</f>
        <v>0.10824299999999999</v>
      </c>
      <c r="Y44" s="419">
        <f>SUM(V44:X44)/Y$48</f>
        <v>1.8137814292417131E-3</v>
      </c>
      <c r="Z44" s="566">
        <f>V44*AB$45</f>
        <v>8000182.5667403424</v>
      </c>
      <c r="AA44" s="566"/>
      <c r="AN44" s="459" t="s">
        <v>285</v>
      </c>
      <c r="AO44" s="454" t="s">
        <v>17</v>
      </c>
      <c r="AP44" s="455">
        <v>86</v>
      </c>
      <c r="BL44" s="1922" t="s">
        <v>17</v>
      </c>
      <c r="BM44" s="510" t="s">
        <v>101</v>
      </c>
      <c r="BN44" s="11">
        <f t="shared" ref="BN44:BN49" si="63">AW66/AV66</f>
        <v>738.00351619963408</v>
      </c>
    </row>
    <row r="45" spans="1:98" ht="15" thickBot="1">
      <c r="S45" s="11" t="s">
        <v>378</v>
      </c>
      <c r="V45" s="419">
        <f>SUM(AB17:AB25)</f>
        <v>0.1265149040017691</v>
      </c>
      <c r="W45" s="421">
        <f>SUM('SCE REF NTG'!AB17:AB25)</f>
        <v>0.2016562803951979</v>
      </c>
      <c r="X45" s="421">
        <f>SUM('SDGE REF NTG'!AB17:AB25)</f>
        <v>0.29903315434325528</v>
      </c>
      <c r="Y45" s="419">
        <f>SUM(V45:X45)/Y$48</f>
        <v>2.6649072163220252E-3</v>
      </c>
      <c r="Z45" s="567">
        <v>150693</v>
      </c>
      <c r="AA45" s="567"/>
      <c r="AB45" s="569">
        <f>Z45/Y45</f>
        <v>56547184.486212291</v>
      </c>
      <c r="AC45" s="568">
        <f>Z45+Z46</f>
        <v>205219</v>
      </c>
      <c r="AD45" s="419">
        <f>Y45+Y46</f>
        <v>0.79014516968177873</v>
      </c>
      <c r="AE45" s="568">
        <f>AC45/AD45</f>
        <v>259723.1595842691</v>
      </c>
      <c r="AN45" s="459" t="s">
        <v>285</v>
      </c>
      <c r="AO45" s="454" t="s">
        <v>18</v>
      </c>
      <c r="AP45" s="455">
        <v>214</v>
      </c>
      <c r="AT45" s="138" t="s">
        <v>281</v>
      </c>
      <c r="AU45" s="11">
        <v>86</v>
      </c>
      <c r="AY45" s="11">
        <v>15</v>
      </c>
      <c r="AZ45" s="11" t="s">
        <v>282</v>
      </c>
      <c r="BL45" s="1956"/>
      <c r="BM45" s="510" t="s">
        <v>25</v>
      </c>
      <c r="BN45" s="11">
        <f t="shared" si="63"/>
        <v>564.8954806212397</v>
      </c>
    </row>
    <row r="46" spans="1:98" ht="15" thickBot="1">
      <c r="S46" s="11" t="s">
        <v>379</v>
      </c>
      <c r="V46" s="419">
        <f>SUM(AB26:AB35)</f>
        <v>77.475587810204274</v>
      </c>
      <c r="W46" s="421">
        <f>SUM('SCE REF NTG'!AB26:AB35)</f>
        <v>62.358799062216107</v>
      </c>
      <c r="X46" s="421">
        <f>SUM('SDGE REF NTG'!AB26:AB35)</f>
        <v>45.504537599514997</v>
      </c>
      <c r="Y46" s="419">
        <f>SUM(V46:X46)/Y$48</f>
        <v>0.78748026246545666</v>
      </c>
      <c r="Z46" s="565">
        <v>54526</v>
      </c>
      <c r="AA46" s="565"/>
      <c r="AB46" s="569">
        <f>Z46/Y46</f>
        <v>69241.100506175309</v>
      </c>
      <c r="AN46" s="461" t="s">
        <v>285</v>
      </c>
      <c r="AO46" s="462" t="s">
        <v>4</v>
      </c>
      <c r="AP46" s="463">
        <v>81</v>
      </c>
      <c r="BL46" s="1570" t="s">
        <v>18</v>
      </c>
      <c r="BM46" s="510" t="s">
        <v>101</v>
      </c>
      <c r="BN46" s="11">
        <f t="shared" si="63"/>
        <v>835.36509755764769</v>
      </c>
    </row>
    <row r="47" spans="1:98" ht="15" thickBot="1">
      <c r="S47" s="11" t="s">
        <v>380</v>
      </c>
      <c r="V47" s="419">
        <f>AB36</f>
        <v>20.350984131828003</v>
      </c>
      <c r="W47" s="421">
        <f>'SCE REF NTG'!AB36</f>
        <v>16.400179463849998</v>
      </c>
      <c r="X47" s="421">
        <f>'SDGE REF NTG'!AB36</f>
        <v>11.629328129412</v>
      </c>
      <c r="Y47" s="419">
        <f>SUM(V47:X47)/Y$48</f>
        <v>0.20556222839013374</v>
      </c>
      <c r="Z47" s="566">
        <f>V47*AB$45</f>
        <v>1150790854.178457</v>
      </c>
      <c r="AA47" s="566"/>
      <c r="BL47" s="1571"/>
      <c r="BM47" s="510" t="s">
        <v>25</v>
      </c>
      <c r="BN47" s="11">
        <f t="shared" si="63"/>
        <v>962.96521124043466</v>
      </c>
    </row>
    <row r="48" spans="1:98" ht="15" thickBot="1">
      <c r="V48" s="419">
        <f>SUM(V43:V47)</f>
        <v>98.27754593250404</v>
      </c>
      <c r="W48" s="421">
        <f>SUM(W43:W47)</f>
        <v>79.309430844936301</v>
      </c>
      <c r="X48" s="421">
        <f>SUM(X43:X47)</f>
        <v>57.769937301489257</v>
      </c>
      <c r="Y48" s="419">
        <f>SUM(V48:X48)</f>
        <v>235.35691407892958</v>
      </c>
      <c r="BL48" s="1570" t="s">
        <v>4</v>
      </c>
      <c r="BM48" s="510" t="s">
        <v>101</v>
      </c>
      <c r="BN48" s="11">
        <f t="shared" si="63"/>
        <v>957.35296994595649</v>
      </c>
    </row>
    <row r="49" spans="24:66" ht="15" thickBot="1">
      <c r="BL49" s="1571"/>
      <c r="BM49" s="510" t="s">
        <v>25</v>
      </c>
      <c r="BN49" s="11">
        <f t="shared" si="63"/>
        <v>719.69389140271494</v>
      </c>
    </row>
    <row r="50" spans="24:66">
      <c r="X50" s="11" t="s">
        <v>496</v>
      </c>
      <c r="Y50" s="419">
        <f>Y43+Y47</f>
        <v>0.20804104888897978</v>
      </c>
      <c r="Z50" s="11">
        <f>22000/290000</f>
        <v>7.586206896551724E-2</v>
      </c>
    </row>
    <row r="53" spans="24:66" ht="15" thickBot="1"/>
    <row r="54" spans="24:66" ht="77.400000000000006" thickBot="1">
      <c r="AT54" s="465" t="s">
        <v>0</v>
      </c>
      <c r="AU54" s="466" t="s">
        <v>287</v>
      </c>
      <c r="AV54" s="467" t="str">
        <f>"Lower CI of "&amp;AU54</f>
        <v>Lower CI of Gross Unit Savings</v>
      </c>
      <c r="AW54" s="467" t="str">
        <f>"Upper CI of "&amp;AU54</f>
        <v>Upper CI of Gross Unit Savings</v>
      </c>
      <c r="AX54" s="466" t="s">
        <v>288</v>
      </c>
      <c r="AY54" s="467" t="str">
        <f>"Lower CI of "&amp;AX54</f>
        <v>Lower CI of Net Unit Savings</v>
      </c>
      <c r="AZ54" s="467" t="str">
        <f>"Upper CI of "&amp;AX54</f>
        <v>Upper CI of Net Unit Savings</v>
      </c>
      <c r="BA54" s="466" t="s">
        <v>120</v>
      </c>
      <c r="BB54" s="467" t="str">
        <f>"Lower CI of "&amp;BA54</f>
        <v>Lower CI of NTG Ratio</v>
      </c>
      <c r="BC54" s="467" t="str">
        <f>"Upper CI of "&amp;BA54</f>
        <v>Upper CI of NTG Ratio</v>
      </c>
    </row>
    <row r="55" spans="24:66" ht="15" thickBot="1">
      <c r="AT55" s="1800" t="s">
        <v>290</v>
      </c>
      <c r="AU55" s="1801"/>
      <c r="AV55" s="1801"/>
      <c r="AW55" s="1801"/>
      <c r="AX55" s="1801"/>
      <c r="AY55" s="1801"/>
      <c r="AZ55" s="1801"/>
      <c r="BA55" s="1801"/>
      <c r="BB55" s="1801"/>
      <c r="BC55" s="1932"/>
    </row>
    <row r="56" spans="24:66">
      <c r="AT56" s="479" t="s">
        <v>256</v>
      </c>
      <c r="AU56" s="468">
        <f>AU37</f>
        <v>33878.488066165693</v>
      </c>
      <c r="AV56" s="473">
        <f>AU40</f>
        <v>19498.373282031829</v>
      </c>
      <c r="AW56" s="469">
        <f>AU41</f>
        <v>48258.602850299561</v>
      </c>
      <c r="AX56" s="470">
        <f>AW37</f>
        <v>21958.30553632832</v>
      </c>
      <c r="AY56" s="469">
        <f>AW40</f>
        <v>14047.286262954638</v>
      </c>
      <c r="AZ56" s="469">
        <f>AW41</f>
        <v>29869.324809702004</v>
      </c>
      <c r="BA56" s="471">
        <f>AY37</f>
        <v>0.64814892250926592</v>
      </c>
      <c r="BB56" s="476">
        <f>AY40</f>
        <v>0.26770137921992099</v>
      </c>
      <c r="BC56" s="472">
        <f>AY41</f>
        <v>1.0285964657986109</v>
      </c>
    </row>
    <row r="57" spans="24:66">
      <c r="AT57" s="480" t="s">
        <v>18</v>
      </c>
      <c r="AU57" s="434">
        <f>'SCE REF NTG'!AU37</f>
        <v>30927.565621601083</v>
      </c>
      <c r="AV57" s="474" t="e">
        <f>'SCE REF NTG'!AU40</f>
        <v>#REF!</v>
      </c>
      <c r="AW57" s="435" t="e">
        <f>'SCE REF NTG'!AU41</f>
        <v>#REF!</v>
      </c>
      <c r="AX57" s="436">
        <f>'SCE REF NTG'!AW37</f>
        <v>21581.064498289787</v>
      </c>
      <c r="AY57" s="435" t="e">
        <f>'SCE REF NTG'!AW40</f>
        <v>#REF!</v>
      </c>
      <c r="AZ57" s="435" t="e">
        <f>'SCE REF NTG'!AW41</f>
        <v>#REF!</v>
      </c>
      <c r="BA57" s="437">
        <f>'SCE REF NTG'!AY37</f>
        <v>0.69779383098994008</v>
      </c>
      <c r="BB57" s="477" t="e">
        <f>'SCE REF NTG'!AY40</f>
        <v>#REF!</v>
      </c>
      <c r="BC57" s="438" t="e">
        <f>'SCE REF NTG'!AY41</f>
        <v>#REF!</v>
      </c>
    </row>
    <row r="58" spans="24:66" ht="15" thickBot="1">
      <c r="AT58" s="481" t="s">
        <v>257</v>
      </c>
      <c r="AU58" s="439">
        <f>'SDGE REF NTG'!AU37</f>
        <v>14852.715552596223</v>
      </c>
      <c r="AV58" s="475" t="e">
        <f>'SDGE REF NTG'!AU40</f>
        <v>#REF!</v>
      </c>
      <c r="AW58" s="440" t="e">
        <f>'SDGE REF NTG'!AU41</f>
        <v>#REF!</v>
      </c>
      <c r="AX58" s="441">
        <f>'SDGE REF NTG'!AW37</f>
        <v>10299.19611030592</v>
      </c>
      <c r="AY58" s="440" t="e">
        <f>'SDGE REF NTG'!AW40</f>
        <v>#REF!</v>
      </c>
      <c r="AZ58" s="440" t="e">
        <f>'SDGE REF NTG'!AW41</f>
        <v>#REF!</v>
      </c>
      <c r="BA58" s="442">
        <f>'SDGE REF NTG'!AY37</f>
        <v>0.6934217567039882</v>
      </c>
      <c r="BB58" s="478" t="e">
        <f>'SDGE REF NTG'!AY40</f>
        <v>#REF!</v>
      </c>
      <c r="BC58" s="443" t="e">
        <f>'SCE REF NTG'!AY41</f>
        <v>#REF!</v>
      </c>
    </row>
    <row r="59" spans="24:66" ht="15" thickBot="1">
      <c r="AT59" s="1800" t="s">
        <v>289</v>
      </c>
      <c r="AU59" s="1801"/>
      <c r="AV59" s="1801"/>
      <c r="AW59" s="1801"/>
      <c r="AX59" s="1801"/>
      <c r="AY59" s="1801"/>
      <c r="AZ59" s="1801"/>
      <c r="BA59" s="1801"/>
      <c r="BB59" s="1801"/>
      <c r="BC59" s="1932"/>
    </row>
    <row r="60" spans="24:66" ht="15" thickBot="1">
      <c r="AT60" s="481" t="s">
        <v>291</v>
      </c>
      <c r="AU60" s="439">
        <f>'All IOU FRZ NTG'!AQ28</f>
        <v>770.91180802081556</v>
      </c>
      <c r="AV60" s="475">
        <f>'All IOU FRZ NTG'!AQ34</f>
        <v>632.02035150354493</v>
      </c>
      <c r="AW60" s="440">
        <f>'All IOU FRZ NTG'!AQ35</f>
        <v>909.80326453808618</v>
      </c>
      <c r="AX60" s="441">
        <f>'All IOU FRZ NTG'!AS28</f>
        <v>576.69338243259187</v>
      </c>
      <c r="AY60" s="440">
        <f>'All IOU FRZ NTG'!AS34</f>
        <v>452.870119702544</v>
      </c>
      <c r="AZ60" s="440">
        <f>'All IOU FRZ NTG'!AS35</f>
        <v>700.51664516263975</v>
      </c>
      <c r="BA60" s="442">
        <f>'All IOU FRZ NTG'!AU28</f>
        <v>0.74806660947787751</v>
      </c>
      <c r="BB60" s="478">
        <f>'All IOU FRZ NTG'!AU34</f>
        <v>0.46382803180048454</v>
      </c>
      <c r="BC60" s="443">
        <f>'All IOU FRZ NTG'!AU35</f>
        <v>1.0323051871552704</v>
      </c>
    </row>
    <row r="61" spans="24:66" ht="15" thickBot="1"/>
    <row r="62" spans="24:66">
      <c r="BE62" s="513"/>
    </row>
    <row r="64" spans="24:66" ht="15" thickBot="1"/>
    <row r="65" spans="12:62" ht="76.2" thickBot="1">
      <c r="AT65" s="508" t="s">
        <v>0</v>
      </c>
      <c r="AU65" s="509" t="s">
        <v>332</v>
      </c>
      <c r="AV65" s="509" t="s">
        <v>333</v>
      </c>
      <c r="AW65" s="509" t="s">
        <v>337</v>
      </c>
      <c r="AX65" s="768" t="s">
        <v>338</v>
      </c>
      <c r="AY65" s="509" t="s">
        <v>339</v>
      </c>
    </row>
    <row r="66" spans="12:62" ht="15" thickBot="1">
      <c r="Z66" s="426" t="s">
        <v>131</v>
      </c>
      <c r="AA66" s="524"/>
      <c r="AB66" s="426" t="s">
        <v>113</v>
      </c>
      <c r="AT66" s="1922" t="s">
        <v>17</v>
      </c>
      <c r="AU66" s="510" t="s">
        <v>101</v>
      </c>
      <c r="AV66" s="511">
        <v>55742</v>
      </c>
      <c r="AW66" s="511">
        <v>41137792</v>
      </c>
      <c r="AX66" s="775">
        <f>AV66*AU56</f>
        <v>1888454681.7842081</v>
      </c>
      <c r="AY66" s="511">
        <f>AV66*AX56</f>
        <v>1223999867.2060132</v>
      </c>
      <c r="AZ66" s="11">
        <f>AY66/AW66</f>
        <v>29.753659778483328</v>
      </c>
    </row>
    <row r="67" spans="12:62" ht="15" thickBot="1">
      <c r="L67" s="11" t="s">
        <v>0</v>
      </c>
      <c r="M67" s="11" t="s">
        <v>260</v>
      </c>
      <c r="N67" s="11" t="s">
        <v>261</v>
      </c>
      <c r="P67" s="11" t="s">
        <v>262</v>
      </c>
      <c r="Q67" s="11" t="s">
        <v>261</v>
      </c>
      <c r="Z67" s="426" t="s">
        <v>267</v>
      </c>
      <c r="AA67" s="334"/>
      <c r="AB67" s="265">
        <v>0.110441405228</v>
      </c>
      <c r="AC67" s="266">
        <v>2.0800896802065303</v>
      </c>
      <c r="AD67" s="265">
        <v>0.15480819431999998</v>
      </c>
      <c r="AE67" s="266">
        <v>1.4574562928733019</v>
      </c>
      <c r="AF67" s="265">
        <v>9.3360886415999988E-2</v>
      </c>
      <c r="AG67" s="266">
        <v>2.1482573126252711</v>
      </c>
      <c r="AT67" s="1956"/>
      <c r="AU67" s="510" t="s">
        <v>25</v>
      </c>
      <c r="AV67" s="511">
        <v>7147</v>
      </c>
      <c r="AW67" s="511">
        <v>4037308</v>
      </c>
      <c r="AX67" s="775">
        <f>AV67*AU60</f>
        <v>5509706.6919247685</v>
      </c>
      <c r="AY67" s="511">
        <f>AV67*AX60</f>
        <v>4121627.6042457339</v>
      </c>
      <c r="AZ67" s="11">
        <f t="shared" ref="AZ67:AZ71" si="64">AY67/AW67</f>
        <v>1.0208851056807491</v>
      </c>
      <c r="BF67" s="510" t="s">
        <v>334</v>
      </c>
      <c r="BG67" s="512">
        <v>815</v>
      </c>
      <c r="BH67" s="511">
        <v>35352</v>
      </c>
      <c r="BI67" s="775">
        <f>BH67</f>
        <v>35352</v>
      </c>
      <c r="BJ67" s="512"/>
    </row>
    <row r="68" spans="12:62" ht="15" thickBot="1">
      <c r="L68" s="1948" t="s">
        <v>256</v>
      </c>
      <c r="M68" s="1948" t="s">
        <v>59</v>
      </c>
      <c r="N68" s="1951">
        <v>0.94</v>
      </c>
      <c r="O68" s="429">
        <v>3.4982000000000002</v>
      </c>
      <c r="P68" s="428" t="s">
        <v>73</v>
      </c>
      <c r="Q68" s="430">
        <v>0.50974600000000003</v>
      </c>
      <c r="Z68" s="426" t="s">
        <v>268</v>
      </c>
      <c r="AA68" s="334"/>
      <c r="AB68" s="503">
        <v>3.1036594771999999E-2</v>
      </c>
      <c r="AC68" s="266">
        <v>1.165225299116744</v>
      </c>
      <c r="AD68" s="265">
        <v>2.2356805679999998E-2</v>
      </c>
      <c r="AE68" s="266">
        <v>0.59989335896053064</v>
      </c>
      <c r="AF68" s="265">
        <v>1.4882113583999998E-2</v>
      </c>
      <c r="AG68" s="266">
        <v>0.88296801824752014</v>
      </c>
      <c r="AT68" s="1570" t="s">
        <v>18</v>
      </c>
      <c r="AU68" s="510" t="s">
        <v>101</v>
      </c>
      <c r="AV68" s="511">
        <v>183225</v>
      </c>
      <c r="AW68" s="511">
        <v>153059770</v>
      </c>
      <c r="AX68" s="775">
        <f>AV68*AU57</f>
        <v>5666703211.0178585</v>
      </c>
      <c r="AY68" s="511">
        <f>AV68*AX57</f>
        <v>3954190542.6991463</v>
      </c>
      <c r="AZ68" s="11">
        <f t="shared" si="64"/>
        <v>25.834290373617748</v>
      </c>
      <c r="BF68" s="510" t="s">
        <v>334</v>
      </c>
      <c r="BG68" s="512">
        <v>744</v>
      </c>
      <c r="BH68" s="512" t="s">
        <v>335</v>
      </c>
      <c r="BI68" s="776" t="s">
        <v>335</v>
      </c>
      <c r="BJ68" s="512" t="s">
        <v>335</v>
      </c>
    </row>
    <row r="69" spans="12:62" ht="15" thickBot="1">
      <c r="L69" s="1949"/>
      <c r="M69" s="1949"/>
      <c r="N69" s="1952"/>
      <c r="O69" s="429"/>
      <c r="P69" s="428" t="s">
        <v>74</v>
      </c>
      <c r="Q69" s="430">
        <v>0.28566999999999998</v>
      </c>
      <c r="Z69" s="426" t="s">
        <v>133</v>
      </c>
      <c r="AA69" s="334"/>
      <c r="AB69" s="268">
        <v>0.18298108647000003</v>
      </c>
      <c r="AC69" s="269">
        <v>3.2932348697670215</v>
      </c>
      <c r="AD69" s="268">
        <v>0.171631038475</v>
      </c>
      <c r="AE69" s="269">
        <v>3.022683633839049</v>
      </c>
      <c r="AF69" s="268">
        <v>0.22879541821899999</v>
      </c>
      <c r="AG69" s="269">
        <v>7.7147193697114238</v>
      </c>
      <c r="AT69" s="1571"/>
      <c r="AU69" s="510" t="s">
        <v>25</v>
      </c>
      <c r="AV69" s="511">
        <v>15551</v>
      </c>
      <c r="AW69" s="511">
        <v>14975072</v>
      </c>
      <c r="AX69" s="775">
        <f>AV69*AU60</f>
        <v>11988449.526531702</v>
      </c>
      <c r="AY69" s="511">
        <f>AV69*AX60</f>
        <v>8968158.7902092356</v>
      </c>
      <c r="AZ69" s="11">
        <f t="shared" si="64"/>
        <v>0.59887249892416117</v>
      </c>
      <c r="BF69" s="1955" t="s">
        <v>336</v>
      </c>
      <c r="BG69" s="1955"/>
      <c r="BH69" s="1955"/>
      <c r="BI69" s="1955"/>
      <c r="BJ69" s="1955"/>
    </row>
    <row r="70" spans="12:62" ht="15" thickBot="1">
      <c r="L70" s="1949"/>
      <c r="M70" s="1950"/>
      <c r="N70" s="1953"/>
      <c r="O70" s="429"/>
      <c r="P70" s="428" t="s">
        <v>258</v>
      </c>
      <c r="Q70" s="430">
        <v>0.20458300000000001</v>
      </c>
      <c r="Z70" s="426" t="s">
        <v>134</v>
      </c>
      <c r="AA70" s="334"/>
      <c r="AB70" s="270">
        <v>1.7203592049903873E-2</v>
      </c>
      <c r="AC70" s="271">
        <v>0.75423428132297088</v>
      </c>
      <c r="AD70" s="270">
        <v>0</v>
      </c>
      <c r="AE70" s="271">
        <v>0</v>
      </c>
      <c r="AF70" s="270">
        <v>0.13407385054955506</v>
      </c>
      <c r="AG70" s="271">
        <v>6.5729282573227419</v>
      </c>
      <c r="AT70" s="1570" t="s">
        <v>4</v>
      </c>
      <c r="AU70" s="510" t="s">
        <v>101</v>
      </c>
      <c r="AV70" s="511">
        <v>40893</v>
      </c>
      <c r="AW70" s="511">
        <v>39149035</v>
      </c>
      <c r="AX70" s="775">
        <f>AV70*AU58</f>
        <v>607372097.09231734</v>
      </c>
      <c r="AY70" s="511">
        <f>AV70*AX58</f>
        <v>421165026.53873998</v>
      </c>
      <c r="AZ70" s="11">
        <f t="shared" si="64"/>
        <v>10.757992541546425</v>
      </c>
    </row>
    <row r="71" spans="12:62" ht="15" thickBot="1">
      <c r="L71" s="1949"/>
      <c r="M71" s="1948" t="s">
        <v>60</v>
      </c>
      <c r="N71" s="1951">
        <v>0.06</v>
      </c>
      <c r="O71" s="429">
        <v>3.4077999999999999</v>
      </c>
      <c r="P71" s="428" t="s">
        <v>73</v>
      </c>
      <c r="Q71" s="430">
        <v>0.36532899999999996</v>
      </c>
      <c r="Z71" s="426" t="s">
        <v>135</v>
      </c>
      <c r="AA71" s="334"/>
      <c r="AB71" s="270">
        <v>3.0862980380111999E-2</v>
      </c>
      <c r="AC71" s="272">
        <v>1.0943839588067361</v>
      </c>
      <c r="AD71" s="270">
        <v>4.8749351201291015E-2</v>
      </c>
      <c r="AE71" s="272">
        <v>1.4414355330323816</v>
      </c>
      <c r="AF71" s="270">
        <v>3.9271463679762433E-2</v>
      </c>
      <c r="AG71" s="272">
        <v>4.1045128873421808</v>
      </c>
      <c r="AT71" s="1571"/>
      <c r="AU71" s="510" t="s">
        <v>25</v>
      </c>
      <c r="AV71" s="511">
        <v>4420</v>
      </c>
      <c r="AW71" s="511">
        <v>3181047</v>
      </c>
      <c r="AX71" s="775">
        <f>AV71*AU60</f>
        <v>3407430.1914520049</v>
      </c>
      <c r="AY71" s="511">
        <f>AV71*AX60</f>
        <v>2548984.7503520562</v>
      </c>
      <c r="AZ71" s="11">
        <f t="shared" si="64"/>
        <v>0.80130370609175416</v>
      </c>
    </row>
    <row r="72" spans="12:62">
      <c r="L72" s="1949"/>
      <c r="M72" s="1949"/>
      <c r="N72" s="1952"/>
      <c r="O72" s="429"/>
      <c r="P72" s="428" t="s">
        <v>74</v>
      </c>
      <c r="Q72" s="430">
        <v>0.24781800000000001</v>
      </c>
      <c r="Z72" s="426" t="s">
        <v>136</v>
      </c>
      <c r="AA72" s="334"/>
      <c r="AB72" s="270">
        <v>3.6418115082881682E-2</v>
      </c>
      <c r="AC72" s="272">
        <v>1.1845654520815387</v>
      </c>
      <c r="AD72" s="270">
        <v>0.10742345422686381</v>
      </c>
      <c r="AE72" s="272">
        <v>2.1505864859661825</v>
      </c>
      <c r="AF72" s="270">
        <v>0</v>
      </c>
      <c r="AG72" s="272">
        <v>0</v>
      </c>
    </row>
    <row r="73" spans="12:62" ht="15" thickBot="1">
      <c r="L73" s="1950"/>
      <c r="M73" s="1950"/>
      <c r="N73" s="1953"/>
      <c r="O73" s="429"/>
      <c r="P73" s="428" t="s">
        <v>258</v>
      </c>
      <c r="Q73" s="430">
        <v>0.386853</v>
      </c>
      <c r="Z73" s="426" t="s">
        <v>137</v>
      </c>
      <c r="AA73" s="334"/>
      <c r="AB73" s="273">
        <v>6.1722305585396535E-2</v>
      </c>
      <c r="AC73" s="274">
        <v>1.5815821201874043</v>
      </c>
      <c r="AD73" s="273">
        <v>5.5189998564556926E-2</v>
      </c>
      <c r="AE73" s="274">
        <v>1.5584716286406552</v>
      </c>
      <c r="AF73" s="273">
        <v>7.666559543882677E-2</v>
      </c>
      <c r="AG73" s="274">
        <v>5.4292988495588785</v>
      </c>
    </row>
    <row r="74" spans="12:62">
      <c r="L74" s="1948" t="s">
        <v>18</v>
      </c>
      <c r="M74" s="1948" t="s">
        <v>59</v>
      </c>
      <c r="N74" s="1951">
        <v>0.91</v>
      </c>
      <c r="O74" s="429">
        <v>3.4982000000000002</v>
      </c>
      <c r="P74" s="428" t="s">
        <v>73</v>
      </c>
      <c r="Q74" s="430">
        <v>0.46087899999999998</v>
      </c>
      <c r="Z74" s="426" t="s">
        <v>138</v>
      </c>
      <c r="AA74" s="334"/>
      <c r="AB74" s="275">
        <v>7.3134331033627075E-3</v>
      </c>
      <c r="AC74" s="276">
        <v>0.42673861878396124</v>
      </c>
      <c r="AD74" s="275">
        <v>3.5473016961546575E-3</v>
      </c>
      <c r="AE74" s="276">
        <v>0.36611164999204648</v>
      </c>
      <c r="AF74" s="275">
        <v>1.428270910385657E-2</v>
      </c>
      <c r="AG74" s="276">
        <v>0.48443295490542432</v>
      </c>
    </row>
    <row r="75" spans="12:62">
      <c r="L75" s="1949"/>
      <c r="M75" s="1949"/>
      <c r="N75" s="1952"/>
      <c r="O75" s="429"/>
      <c r="P75" s="428" t="s">
        <v>74</v>
      </c>
      <c r="Q75" s="430">
        <v>0.32020799999999999</v>
      </c>
      <c r="Z75" s="426" t="s">
        <v>139</v>
      </c>
      <c r="AA75" s="334"/>
      <c r="AB75" s="277">
        <v>1.7915817996364378E-3</v>
      </c>
      <c r="AC75" s="278">
        <v>0.18545802610764725</v>
      </c>
      <c r="AD75" s="277">
        <v>3.5473016961546575E-3</v>
      </c>
      <c r="AE75" s="278">
        <v>0.36611164999204648</v>
      </c>
      <c r="AF75" s="277">
        <v>8.5696254623139415E-3</v>
      </c>
      <c r="AG75" s="278">
        <v>0.29065977294325457</v>
      </c>
    </row>
    <row r="76" spans="12:62" ht="25.5" customHeight="1">
      <c r="L76" s="1949"/>
      <c r="M76" s="1950"/>
      <c r="N76" s="1953"/>
      <c r="O76" s="429"/>
      <c r="P76" s="428" t="s">
        <v>258</v>
      </c>
      <c r="Q76" s="430">
        <v>0.21891300000000002</v>
      </c>
      <c r="Z76" s="426" t="s">
        <v>140</v>
      </c>
      <c r="AA76" s="334"/>
      <c r="AB76" s="277">
        <v>5.3747874291678321E-3</v>
      </c>
      <c r="AC76" s="278">
        <v>0.32683708701175684</v>
      </c>
      <c r="AD76" s="277">
        <v>7.0945579088343485E-3</v>
      </c>
      <c r="AE76" s="278">
        <v>0.5114746703630243</v>
      </c>
      <c r="AF76" s="277">
        <v>1.9995792745399199E-2</v>
      </c>
      <c r="AG76" s="278">
        <v>0.67820613686759412</v>
      </c>
    </row>
    <row r="77" spans="12:62" ht="15" thickBot="1">
      <c r="L77" s="1949"/>
      <c r="M77" s="1948" t="s">
        <v>60</v>
      </c>
      <c r="N77" s="1951">
        <v>0.1</v>
      </c>
      <c r="O77" s="429">
        <v>3.4077999999999999</v>
      </c>
      <c r="P77" s="428" t="s">
        <v>73</v>
      </c>
      <c r="Q77" s="430">
        <v>0.53704099999999999</v>
      </c>
      <c r="Z77" s="426" t="s">
        <v>141</v>
      </c>
      <c r="AA77" s="334"/>
      <c r="AB77" s="279">
        <v>2.7550414156704565E-2</v>
      </c>
      <c r="AC77" s="280">
        <v>0.7938552311718694</v>
      </c>
      <c r="AD77" s="279">
        <v>3.1294313665899423E-2</v>
      </c>
      <c r="AE77" s="280">
        <v>0.95295644142030911</v>
      </c>
      <c r="AF77" s="279">
        <v>8.2839712802368112E-2</v>
      </c>
      <c r="AG77" s="280">
        <v>2.809711138451461</v>
      </c>
    </row>
    <row r="78" spans="12:62">
      <c r="L78" s="1949"/>
      <c r="M78" s="1949"/>
      <c r="N78" s="1952"/>
      <c r="O78" s="429"/>
      <c r="P78" s="428" t="s">
        <v>74</v>
      </c>
      <c r="Q78" s="430">
        <v>0.18779199999999999</v>
      </c>
      <c r="Z78" s="426" t="s">
        <v>142</v>
      </c>
      <c r="AA78" s="334"/>
      <c r="AB78" s="281">
        <v>0.10502574490159836</v>
      </c>
      <c r="AC78" s="282">
        <v>1.4263757305108298</v>
      </c>
      <c r="AD78" s="281">
        <v>7.3235403041092051E-2</v>
      </c>
      <c r="AE78" s="282">
        <v>1.0557195002646347</v>
      </c>
      <c r="AF78" s="281">
        <v>4.567728396712576E-2</v>
      </c>
      <c r="AG78" s="282">
        <v>2.0520588719601647</v>
      </c>
    </row>
    <row r="79" spans="12:62" ht="15" thickBot="1">
      <c r="L79" s="1950"/>
      <c r="M79" s="1950"/>
      <c r="N79" s="1953"/>
      <c r="O79" s="429"/>
      <c r="P79" s="428" t="s">
        <v>258</v>
      </c>
      <c r="Q79" s="431">
        <v>0.27516699999999999</v>
      </c>
      <c r="Z79" s="426" t="s">
        <v>143</v>
      </c>
      <c r="AA79" s="334"/>
      <c r="AB79" s="283">
        <v>5.8858146108139345E-2</v>
      </c>
      <c r="AC79" s="284">
        <v>1.0770393741373612</v>
      </c>
      <c r="AD79" s="283">
        <v>5.0882253122797962E-2</v>
      </c>
      <c r="AE79" s="284">
        <v>0.86218964574018508</v>
      </c>
      <c r="AF79" s="283">
        <v>4.9054333223910875E-2</v>
      </c>
      <c r="AG79" s="284">
        <v>2.1569435601392986</v>
      </c>
    </row>
    <row r="80" spans="12:62" ht="27.6" thickBot="1">
      <c r="L80" s="1948" t="s">
        <v>257</v>
      </c>
      <c r="M80" s="1948" t="s">
        <v>59</v>
      </c>
      <c r="N80" s="1951">
        <v>0.85</v>
      </c>
      <c r="O80" s="429">
        <v>3.4982000000000002</v>
      </c>
      <c r="P80" s="428" t="s">
        <v>73</v>
      </c>
      <c r="Q80" s="430">
        <v>0.43255499999999997</v>
      </c>
      <c r="Z80" s="426" t="s">
        <v>144</v>
      </c>
      <c r="AA80" s="334"/>
      <c r="AB80" s="285">
        <v>4.2151349827568428E-2</v>
      </c>
      <c r="AC80" s="286">
        <v>0.93633994880024951</v>
      </c>
      <c r="AD80" s="285">
        <v>3.4786097405033828E-2</v>
      </c>
      <c r="AE80" s="286">
        <v>0.70266672670622288</v>
      </c>
      <c r="AF80" s="285">
        <v>1.0867276925109824E-2</v>
      </c>
      <c r="AG80" s="286">
        <v>0.84487332939893578</v>
      </c>
      <c r="AM80" s="1774" t="s">
        <v>283</v>
      </c>
      <c r="AN80" s="1776" t="s">
        <v>179</v>
      </c>
      <c r="AO80" s="1778" t="s">
        <v>2</v>
      </c>
      <c r="AP80" s="1778" t="s">
        <v>3</v>
      </c>
      <c r="AQ80" s="456" t="s">
        <v>245</v>
      </c>
      <c r="AR80" s="457" t="s">
        <v>245</v>
      </c>
    </row>
    <row r="81" spans="12:44" ht="27.6" thickBot="1">
      <c r="L81" s="1949"/>
      <c r="M81" s="1949"/>
      <c r="N81" s="1952"/>
      <c r="O81" s="429"/>
      <c r="P81" s="428" t="s">
        <v>74</v>
      </c>
      <c r="Q81" s="430">
        <v>0.46453499999999998</v>
      </c>
      <c r="Z81" s="426" t="s">
        <v>145</v>
      </c>
      <c r="AA81" s="334"/>
      <c r="AB81" s="287">
        <v>4.5054385428108332E-3</v>
      </c>
      <c r="AC81" s="288">
        <v>0.30888908801411757</v>
      </c>
      <c r="AD81" s="287">
        <v>9.1682210991156712E-3</v>
      </c>
      <c r="AE81" s="288">
        <v>0.40431291770923428</v>
      </c>
      <c r="AF81" s="287">
        <v>8.8963192951183497E-3</v>
      </c>
      <c r="AG81" s="288">
        <v>0.99030343709996105</v>
      </c>
      <c r="AM81" s="1775"/>
      <c r="AN81" s="1777"/>
      <c r="AO81" s="1779"/>
      <c r="AP81" s="1779"/>
      <c r="AQ81" s="453" t="s">
        <v>2</v>
      </c>
      <c r="AR81" s="458" t="s">
        <v>3</v>
      </c>
    </row>
    <row r="82" spans="12:44" ht="15" thickBot="1">
      <c r="L82" s="1949"/>
      <c r="M82" s="1950"/>
      <c r="N82" s="1953"/>
      <c r="O82" s="429"/>
      <c r="P82" s="428" t="s">
        <v>258</v>
      </c>
      <c r="Q82" s="430">
        <v>0.102911</v>
      </c>
      <c r="Z82" s="426" t="s">
        <v>146</v>
      </c>
      <c r="AA82" s="334"/>
      <c r="AB82" s="289">
        <v>3.0562281362889209E-3</v>
      </c>
      <c r="AC82" s="290">
        <v>0.22695492727316594</v>
      </c>
      <c r="AD82" s="289">
        <v>3.2059350713355781E-3</v>
      </c>
      <c r="AE82" s="290">
        <v>0.1962260334808304</v>
      </c>
      <c r="AF82" s="289">
        <v>4.9380872445146931E-3</v>
      </c>
      <c r="AG82" s="290">
        <v>0.58454616135100101</v>
      </c>
      <c r="AM82" s="459" t="s">
        <v>284</v>
      </c>
      <c r="AN82" s="454" t="s">
        <v>17</v>
      </c>
      <c r="AO82" s="455">
        <v>6</v>
      </c>
      <c r="AP82" s="455">
        <v>1.49</v>
      </c>
      <c r="AQ82" s="455">
        <v>6</v>
      </c>
      <c r="AR82" s="460">
        <v>1.49</v>
      </c>
    </row>
    <row r="83" spans="12:44" ht="15" thickBot="1">
      <c r="L83" s="1949"/>
      <c r="M83" s="1948" t="s">
        <v>60</v>
      </c>
      <c r="N83" s="1951">
        <v>0.15</v>
      </c>
      <c r="O83" s="429">
        <v>3.4077999999999999</v>
      </c>
      <c r="P83" s="428" t="s">
        <v>73</v>
      </c>
      <c r="Q83" s="430">
        <v>0.46371200000000001</v>
      </c>
      <c r="Z83" s="426" t="s">
        <v>147</v>
      </c>
      <c r="AA83" s="334"/>
      <c r="AB83" s="291">
        <v>4.7708843716266691E-3</v>
      </c>
      <c r="AC83" s="292">
        <v>0.32086378804970911</v>
      </c>
      <c r="AD83" s="291">
        <v>4.6975778295891045E-3</v>
      </c>
      <c r="AE83" s="292">
        <v>0.25048512814216223</v>
      </c>
      <c r="AF83" s="291">
        <v>5.3506033266597199E-3</v>
      </c>
      <c r="AG83" s="292">
        <v>0.62996542851201154</v>
      </c>
      <c r="AM83" s="459" t="s">
        <v>284</v>
      </c>
      <c r="AN83" s="454" t="s">
        <v>18</v>
      </c>
      <c r="AO83" s="455">
        <v>15</v>
      </c>
      <c r="AP83" s="455">
        <v>3.72</v>
      </c>
      <c r="AQ83" s="455">
        <v>21</v>
      </c>
      <c r="AR83" s="460">
        <v>5.21</v>
      </c>
    </row>
    <row r="84" spans="12:44" ht="15" thickBot="1">
      <c r="L84" s="1949"/>
      <c r="M84" s="1949"/>
      <c r="N84" s="1952"/>
      <c r="O84" s="429"/>
      <c r="P84" s="428" t="s">
        <v>74</v>
      </c>
      <c r="Q84" s="430">
        <v>0.25739299999999998</v>
      </c>
      <c r="Z84" s="426" t="s">
        <v>263</v>
      </c>
      <c r="AA84" s="334"/>
      <c r="AB84" s="293">
        <v>1.1401396586236021E-2</v>
      </c>
      <c r="AC84" s="305">
        <v>9.7622953373390109E-2</v>
      </c>
      <c r="AD84" s="293">
        <v>9.1880053043902482E-3</v>
      </c>
      <c r="AE84" s="305">
        <v>9.0147033506553773E-2</v>
      </c>
      <c r="AF84" s="293">
        <v>6.5151926401205802E-3</v>
      </c>
      <c r="AG84" s="305">
        <v>0.19613515671494755</v>
      </c>
      <c r="AM84" s="459" t="s">
        <v>284</v>
      </c>
      <c r="AN84" s="454" t="s">
        <v>4</v>
      </c>
      <c r="AO84" s="455">
        <v>1</v>
      </c>
      <c r="AP84" s="455">
        <v>0.25</v>
      </c>
      <c r="AQ84" s="455">
        <v>22</v>
      </c>
      <c r="AR84" s="460">
        <v>5.46</v>
      </c>
    </row>
    <row r="85" spans="12:44" ht="15" thickBot="1">
      <c r="L85" s="1950"/>
      <c r="M85" s="1950"/>
      <c r="N85" s="1953"/>
      <c r="O85" s="429"/>
      <c r="P85" s="428" t="s">
        <v>258</v>
      </c>
      <c r="Q85" s="430">
        <v>0.278895</v>
      </c>
      <c r="Z85" s="426" t="s">
        <v>264</v>
      </c>
      <c r="AA85" s="334"/>
      <c r="AB85" s="293">
        <v>5.8121441586018313E-3</v>
      </c>
      <c r="AC85" s="305">
        <v>4.9765717199907113E-2</v>
      </c>
      <c r="AD85" s="293">
        <v>4.6838131587828751E-3</v>
      </c>
      <c r="AE85" s="305">
        <v>4.5954681976672879E-2</v>
      </c>
      <c r="AF85" s="293">
        <v>3.3212807360070702E-3</v>
      </c>
      <c r="AG85" s="305">
        <v>9.9984751585031686E-2</v>
      </c>
      <c r="AM85" s="459" t="s">
        <v>285</v>
      </c>
      <c r="AN85" s="454" t="s">
        <v>17</v>
      </c>
      <c r="AO85" s="455">
        <v>86</v>
      </c>
      <c r="AP85" s="455">
        <v>21.34</v>
      </c>
      <c r="AQ85" s="455">
        <v>108</v>
      </c>
      <c r="AR85" s="460">
        <v>26.8</v>
      </c>
    </row>
    <row r="86" spans="12:44" ht="15" thickBot="1">
      <c r="Z86" s="426" t="s">
        <v>265</v>
      </c>
      <c r="AA86" s="334"/>
      <c r="AB86" s="293">
        <v>8.582785283977842E-3</v>
      </c>
      <c r="AC86" s="305">
        <v>7.3488966132718186E-2</v>
      </c>
      <c r="AD86" s="293">
        <v>6.9165804486470243E-3</v>
      </c>
      <c r="AE86" s="305">
        <v>6.7861215660925941E-2</v>
      </c>
      <c r="AF86" s="293">
        <v>4.9045306941970183E-3</v>
      </c>
      <c r="AG86" s="305">
        <v>0.14764734512927608</v>
      </c>
      <c r="AM86" s="459" t="s">
        <v>285</v>
      </c>
      <c r="AN86" s="454" t="s">
        <v>18</v>
      </c>
      <c r="AO86" s="455">
        <v>214</v>
      </c>
      <c r="AP86" s="455">
        <v>53.1</v>
      </c>
      <c r="AQ86" s="455">
        <v>322</v>
      </c>
      <c r="AR86" s="460">
        <v>79.900000000000006</v>
      </c>
    </row>
    <row r="87" spans="12:44" ht="15" thickBot="1">
      <c r="Z87" s="426" t="s">
        <v>266</v>
      </c>
      <c r="AA87" s="334"/>
      <c r="AB87" s="293">
        <v>0.24038291728170497</v>
      </c>
      <c r="AC87" s="306">
        <v>2.0582470005368503</v>
      </c>
      <c r="AD87" s="293">
        <v>0.19371657694421562</v>
      </c>
      <c r="AE87" s="306">
        <v>1.9006274130273828</v>
      </c>
      <c r="AF87" s="293">
        <v>0.13736396253202462</v>
      </c>
      <c r="AG87" s="306">
        <v>4.1352426254131762</v>
      </c>
      <c r="AM87" s="461" t="s">
        <v>285</v>
      </c>
      <c r="AN87" s="462" t="s">
        <v>4</v>
      </c>
      <c r="AO87" s="463">
        <v>81</v>
      </c>
      <c r="AP87" s="463">
        <v>20.100000000000001</v>
      </c>
      <c r="AQ87" s="463">
        <v>403</v>
      </c>
      <c r="AR87" s="464">
        <v>100</v>
      </c>
    </row>
    <row r="88" spans="12:44">
      <c r="Z88" s="426" t="s">
        <v>5</v>
      </c>
      <c r="AA88" s="524"/>
      <c r="AB88" s="433">
        <v>0.99724343240661528</v>
      </c>
      <c r="AD88" s="419">
        <v>0.99612278085975481</v>
      </c>
      <c r="AF88" s="419">
        <v>0.98962603858587062</v>
      </c>
    </row>
    <row r="98" spans="26:31">
      <c r="Z98" s="486" t="s">
        <v>302</v>
      </c>
      <c r="AA98" s="486"/>
      <c r="AB98" s="490" t="s">
        <v>256</v>
      </c>
      <c r="AC98" s="490" t="s">
        <v>18</v>
      </c>
      <c r="AD98" s="490" t="s">
        <v>257</v>
      </c>
      <c r="AE98" s="490" t="s">
        <v>289</v>
      </c>
    </row>
    <row r="99" spans="26:31">
      <c r="Z99" s="485" t="s">
        <v>300</v>
      </c>
      <c r="AA99" s="485"/>
      <c r="AB99" s="492">
        <v>790.86116834626716</v>
      </c>
      <c r="AC99" s="492">
        <v>736.96959710567432</v>
      </c>
      <c r="AD99" s="492">
        <v>723.77787153217957</v>
      </c>
      <c r="AE99" s="492">
        <v>772.273230773509</v>
      </c>
    </row>
    <row r="100" spans="26:31">
      <c r="Z100" s="485" t="s">
        <v>301</v>
      </c>
      <c r="AA100" s="485"/>
      <c r="AB100" s="492">
        <v>783.11224877993993</v>
      </c>
      <c r="AC100" s="492">
        <v>634.78494205414302</v>
      </c>
      <c r="AD100" s="492">
        <v>659.86134677578593</v>
      </c>
      <c r="AE100" s="492">
        <v>743.50636009214577</v>
      </c>
    </row>
    <row r="101" spans="26:31">
      <c r="Z101" s="485" t="s">
        <v>295</v>
      </c>
      <c r="AA101" s="485"/>
      <c r="AB101" s="1954">
        <v>452</v>
      </c>
      <c r="AC101" s="1954"/>
      <c r="AD101" s="1954"/>
      <c r="AE101" s="491">
        <v>443</v>
      </c>
    </row>
    <row r="111" spans="26:31">
      <c r="Z111" s="485" t="s">
        <v>198</v>
      </c>
      <c r="AA111" s="485"/>
      <c r="AB111" s="487">
        <v>1035.9927015759845</v>
      </c>
      <c r="AC111" s="487">
        <v>958.28708348749888</v>
      </c>
      <c r="AD111" s="487">
        <v>815.47183914728726</v>
      </c>
      <c r="AE111" s="487">
        <v>1032.394209933032</v>
      </c>
    </row>
  </sheetData>
  <customSheetViews>
    <customSheetView guid="{7E8F70E7-08A0-442B-A100-F92E13F1F337}" hiddenColumns="1" topLeftCell="AP13">
      <selection activeCell="BK37" sqref="BK37"/>
      <pageMargins left="0.7" right="0.7" top="0.75" bottom="0.75" header="0.3" footer="0.3"/>
      <pageSetup orientation="portrait" r:id="rId1"/>
    </customSheetView>
    <customSheetView guid="{223C1DCA-941C-47FC-83AC-426B3DB3086A}" hiddenRows="1" topLeftCell="A12">
      <selection activeCell="J17" sqref="J17:J20"/>
      <pageMargins left="0.7" right="0.7" top="0.75" bottom="0.75" header="0.3" footer="0.3"/>
      <pageSetup orientation="portrait" r:id="rId2"/>
    </customSheetView>
    <customSheetView guid="{BA0BA4AB-C6A1-41FF-8782-C05227E92BEB}" topLeftCell="V4">
      <selection activeCell="R14" sqref="R14"/>
      <pageMargins left="0.7" right="0.7" top="0.75" bottom="0.75" header="0.3" footer="0.3"/>
      <pageSetup orientation="portrait" r:id="rId3"/>
    </customSheetView>
    <customSheetView guid="{52F27401-6741-4136-9223-9843499AE81D}" scale="90" hiddenColumns="1" topLeftCell="BB1">
      <selection activeCell="BD17" sqref="BD17:BD36"/>
      <pageMargins left="0.7" right="0.7" top="0.75" bottom="0.75" header="0.3" footer="0.3"/>
      <pageSetup orientation="portrait" r:id="rId4"/>
    </customSheetView>
  </customSheetViews>
  <mergeCells count="168">
    <mergeCell ref="CM31:CN31"/>
    <mergeCell ref="CM32:CN32"/>
    <mergeCell ref="CK33:CK35"/>
    <mergeCell ref="CL33:CN33"/>
    <mergeCell ref="CL34:CN34"/>
    <mergeCell ref="CL35:CN35"/>
    <mergeCell ref="CK36:CN36"/>
    <mergeCell ref="CI13:CN13"/>
    <mergeCell ref="CI37:CN37"/>
    <mergeCell ref="CI14:CN14"/>
    <mergeCell ref="CI15:CN15"/>
    <mergeCell ref="CI16:CN16"/>
    <mergeCell ref="CI17:CI36"/>
    <mergeCell ref="CJ17:CJ25"/>
    <mergeCell ref="CK17:CK21"/>
    <mergeCell ref="CL17:CN17"/>
    <mergeCell ref="CL18:CN18"/>
    <mergeCell ref="CL19:CN19"/>
    <mergeCell ref="CL20:CM21"/>
    <mergeCell ref="CK22:CK25"/>
    <mergeCell ref="CL22:CN22"/>
    <mergeCell ref="CL23:CN23"/>
    <mergeCell ref="CL24:CN24"/>
    <mergeCell ref="CL25:CN25"/>
    <mergeCell ref="CJ26:CJ36"/>
    <mergeCell ref="CK26:CK32"/>
    <mergeCell ref="CL26:CL29"/>
    <mergeCell ref="CM26:CN26"/>
    <mergeCell ref="CM27:CN27"/>
    <mergeCell ref="CM28:CM29"/>
    <mergeCell ref="CL30:CL32"/>
    <mergeCell ref="CM30:CN30"/>
    <mergeCell ref="AT55:BC55"/>
    <mergeCell ref="BL44:BL45"/>
    <mergeCell ref="BL46:BL47"/>
    <mergeCell ref="BL48:BL49"/>
    <mergeCell ref="BH26:BI26"/>
    <mergeCell ref="BH27:BI27"/>
    <mergeCell ref="BH28:BH29"/>
    <mergeCell ref="BG30:BG32"/>
    <mergeCell ref="BH30:BI30"/>
    <mergeCell ref="BH31:BI31"/>
    <mergeCell ref="BH32:BI32"/>
    <mergeCell ref="BF33:BF35"/>
    <mergeCell ref="BG33:BI33"/>
    <mergeCell ref="BG34:BI34"/>
    <mergeCell ref="BG35:BI35"/>
    <mergeCell ref="BY28:BY29"/>
    <mergeCell ref="AT59:BC59"/>
    <mergeCell ref="AB101:AD101"/>
    <mergeCell ref="AT68:AT69"/>
    <mergeCell ref="BF69:BJ69"/>
    <mergeCell ref="AT66:AT67"/>
    <mergeCell ref="AT70:AT71"/>
    <mergeCell ref="W26:W36"/>
    <mergeCell ref="V17:V36"/>
    <mergeCell ref="X33:X35"/>
    <mergeCell ref="Z27:AA27"/>
    <mergeCell ref="Z28:Z29"/>
    <mergeCell ref="Y30:Y32"/>
    <mergeCell ref="Z30:AA30"/>
    <mergeCell ref="BF36:BI36"/>
    <mergeCell ref="W17:W25"/>
    <mergeCell ref="X22:X25"/>
    <mergeCell ref="X36:AA36"/>
    <mergeCell ref="Y33:AA33"/>
    <mergeCell ref="Y34:AA34"/>
    <mergeCell ref="Y35:AA35"/>
    <mergeCell ref="BG25:BI25"/>
    <mergeCell ref="BE26:BE36"/>
    <mergeCell ref="BF26:BF32"/>
    <mergeCell ref="BG26:BG29"/>
    <mergeCell ref="L68:L73"/>
    <mergeCell ref="AN39:AN40"/>
    <mergeCell ref="AO39:AO40"/>
    <mergeCell ref="AP39:AP40"/>
    <mergeCell ref="AM80:AM81"/>
    <mergeCell ref="AN80:AN81"/>
    <mergeCell ref="AO80:AO81"/>
    <mergeCell ref="AP80:AP81"/>
    <mergeCell ref="N68:N70"/>
    <mergeCell ref="M68:M70"/>
    <mergeCell ref="P40:P41"/>
    <mergeCell ref="M71:M73"/>
    <mergeCell ref="N71:N73"/>
    <mergeCell ref="L80:L85"/>
    <mergeCell ref="M83:M85"/>
    <mergeCell ref="M80:M82"/>
    <mergeCell ref="N80:N82"/>
    <mergeCell ref="N83:N85"/>
    <mergeCell ref="L74:L79"/>
    <mergeCell ref="M74:M76"/>
    <mergeCell ref="N74:N76"/>
    <mergeCell ref="M77:M79"/>
    <mergeCell ref="N77:N79"/>
    <mergeCell ref="P20:P21"/>
    <mergeCell ref="Q20:Q21"/>
    <mergeCell ref="X17:X21"/>
    <mergeCell ref="M28:N29"/>
    <mergeCell ref="P28:P29"/>
    <mergeCell ref="Q28:Q29"/>
    <mergeCell ref="Y22:AA22"/>
    <mergeCell ref="Y23:AA23"/>
    <mergeCell ref="Y24:AA24"/>
    <mergeCell ref="Y25:AA25"/>
    <mergeCell ref="Y26:Y29"/>
    <mergeCell ref="X26:X32"/>
    <mergeCell ref="Z26:AA26"/>
    <mergeCell ref="Z31:AA31"/>
    <mergeCell ref="Z32:AA32"/>
    <mergeCell ref="BX30:BX32"/>
    <mergeCell ref="T12:U12"/>
    <mergeCell ref="V12:AA12"/>
    <mergeCell ref="V14:AA14"/>
    <mergeCell ref="V15:AA15"/>
    <mergeCell ref="V16:AA16"/>
    <mergeCell ref="Y17:AA17"/>
    <mergeCell ref="Y18:AA18"/>
    <mergeCell ref="Y19:AA19"/>
    <mergeCell ref="Y20:Z21"/>
    <mergeCell ref="BX34:BZ34"/>
    <mergeCell ref="BX35:BZ35"/>
    <mergeCell ref="BU14:BZ14"/>
    <mergeCell ref="BU15:BZ15"/>
    <mergeCell ref="BU16:BZ16"/>
    <mergeCell ref="BD14:BI14"/>
    <mergeCell ref="BD15:BI15"/>
    <mergeCell ref="BD16:BI16"/>
    <mergeCell ref="BD17:BD36"/>
    <mergeCell ref="BE17:BE25"/>
    <mergeCell ref="BF17:BF21"/>
    <mergeCell ref="BG17:BI17"/>
    <mergeCell ref="BG18:BI18"/>
    <mergeCell ref="BG19:BI19"/>
    <mergeCell ref="BG20:BH21"/>
    <mergeCell ref="BF22:BF25"/>
    <mergeCell ref="BG22:BI22"/>
    <mergeCell ref="BG23:BI23"/>
    <mergeCell ref="BG24:BI24"/>
    <mergeCell ref="BW36:BZ36"/>
    <mergeCell ref="BW26:BW32"/>
    <mergeCell ref="BX26:BX29"/>
    <mergeCell ref="BY26:BZ26"/>
    <mergeCell ref="BY27:BZ27"/>
    <mergeCell ref="BU37:CD37"/>
    <mergeCell ref="BU38:CD38"/>
    <mergeCell ref="CE38:CF38"/>
    <mergeCell ref="BD12:BI13"/>
    <mergeCell ref="BU12:BZ13"/>
    <mergeCell ref="BD37:BJ37"/>
    <mergeCell ref="BY30:BZ30"/>
    <mergeCell ref="BY31:BZ31"/>
    <mergeCell ref="BY32:BZ32"/>
    <mergeCell ref="BU17:BU36"/>
    <mergeCell ref="BV17:BV25"/>
    <mergeCell ref="BW17:BW21"/>
    <mergeCell ref="BX17:BZ17"/>
    <mergeCell ref="BX18:BZ18"/>
    <mergeCell ref="BX19:BZ19"/>
    <mergeCell ref="BX20:BY21"/>
    <mergeCell ref="BW22:BW25"/>
    <mergeCell ref="BX22:BZ22"/>
    <mergeCell ref="BX23:BZ23"/>
    <mergeCell ref="BX24:BZ24"/>
    <mergeCell ref="BX25:BZ25"/>
    <mergeCell ref="BV26:BV36"/>
    <mergeCell ref="BW33:BW35"/>
    <mergeCell ref="BX33:BZ33"/>
  </mergeCells>
  <pageMargins left="0.7" right="0.7" top="0.75" bottom="0.75" header="0.3" footer="0.3"/>
  <pageSetup orientation="portrait" r:id="rId5"/>
  <legacyDrawing r:id="rId6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CF66"/>
  <sheetViews>
    <sheetView topLeftCell="AA29" zoomScale="85" zoomScaleNormal="85" workbookViewId="0">
      <selection activeCell="AU60" sqref="AU60:AZ66"/>
    </sheetView>
  </sheetViews>
  <sheetFormatPr defaultColWidth="9.109375" defaultRowHeight="14.4" outlineLevelRow="1" outlineLevelCol="1"/>
  <cols>
    <col min="1" max="1" width="9.109375" style="643"/>
    <col min="2" max="2" width="9.109375" style="11"/>
    <col min="3" max="3" width="7.6640625" style="11" customWidth="1"/>
    <col min="4" max="4" width="7.109375" style="11" customWidth="1" outlineLevel="1"/>
    <col min="5" max="5" width="15.33203125" style="11" customWidth="1"/>
    <col min="6" max="6" width="7.44140625" style="11" customWidth="1"/>
    <col min="7" max="7" width="7.88671875" style="11" customWidth="1" outlineLevel="1"/>
    <col min="8" max="8" width="19" style="11" customWidth="1"/>
    <col min="9" max="9" width="19.88671875" style="11" customWidth="1"/>
    <col min="10" max="10" width="8.109375" style="11" customWidth="1"/>
    <col min="11" max="11" width="8.5546875" style="11" customWidth="1" outlineLevel="1"/>
    <col min="12" max="12" width="12.33203125" style="11" customWidth="1"/>
    <col min="13" max="13" width="12.5546875" style="11" customWidth="1"/>
    <col min="14" max="14" width="9.109375" style="11" customWidth="1"/>
    <col min="15" max="15" width="7.33203125" style="11" customWidth="1" outlineLevel="1"/>
    <col min="16" max="16" width="41.44140625" style="11" customWidth="1"/>
    <col min="17" max="17" width="7.5546875" style="11" customWidth="1"/>
    <col min="18" max="18" width="8.44140625" style="11" customWidth="1" outlineLevel="1"/>
    <col min="19" max="19" width="16.44140625" style="11" customWidth="1"/>
    <col min="20" max="20" width="18.33203125" style="643" bestFit="1" customWidth="1"/>
    <col min="21" max="21" width="5.33203125" style="643" customWidth="1"/>
    <col min="22" max="25" width="16.44140625" style="11" customWidth="1"/>
    <col min="26" max="26" width="17.5546875" style="11" customWidth="1"/>
    <col min="27" max="27" width="22.109375" style="643" customWidth="1"/>
    <col min="28" max="28" width="9.6640625" style="11" customWidth="1"/>
    <col min="29" max="29" width="8.33203125" style="11" customWidth="1" outlineLevel="1"/>
    <col min="30" max="30" width="11.33203125" style="11" customWidth="1"/>
    <col min="31" max="31" width="9.33203125" style="11" customWidth="1" outlineLevel="1"/>
    <col min="32" max="32" width="8.109375" style="11" customWidth="1"/>
    <col min="33" max="33" width="8" style="11" customWidth="1" outlineLevel="1"/>
    <col min="34" max="34" width="10.33203125" style="11" customWidth="1"/>
    <col min="35" max="35" width="10.109375" style="11" customWidth="1" outlineLevel="1"/>
    <col min="36" max="36" width="10.109375" style="11" customWidth="1"/>
    <col min="37" max="37" width="7.6640625" style="11" customWidth="1" outlineLevel="1"/>
    <col min="38" max="38" width="9.44140625" style="11" customWidth="1"/>
    <col min="39" max="39" width="7.6640625" style="11" customWidth="1" outlineLevel="1"/>
    <col min="40" max="40" width="8.6640625" style="11" customWidth="1"/>
    <col min="41" max="41" width="7.6640625" style="11" customWidth="1" outlineLevel="1"/>
    <col min="42" max="42" width="4.109375" style="11" bestFit="1" customWidth="1"/>
    <col min="43" max="43" width="10.33203125" style="11" customWidth="1" outlineLevel="1"/>
    <col min="44" max="44" width="3.5546875" style="11" bestFit="1" customWidth="1"/>
    <col min="45" max="45" width="4.109375" style="11" bestFit="1" customWidth="1"/>
    <col min="46" max="46" width="8.33203125" style="11" customWidth="1" outlineLevel="1"/>
    <col min="47" max="47" width="12.33203125" style="11" bestFit="1" customWidth="1"/>
    <col min="48" max="48" width="9.6640625" style="11" bestFit="1" customWidth="1" outlineLevel="1"/>
    <col min="49" max="49" width="12.33203125" style="11" bestFit="1" customWidth="1"/>
    <col min="50" max="50" width="9.6640625" style="11" bestFit="1" customWidth="1" outlineLevel="1"/>
    <col min="51" max="51" width="12.33203125" style="11" bestFit="1" customWidth="1"/>
    <col min="52" max="52" width="6.44140625" style="11" bestFit="1" customWidth="1" outlineLevel="1"/>
    <col min="53" max="56" width="8.6640625" style="11" customWidth="1"/>
    <col min="57" max="63" width="9.109375" style="11"/>
    <col min="64" max="64" width="10.33203125" style="11" bestFit="1" customWidth="1"/>
    <col min="65" max="16384" width="9.109375" style="11"/>
  </cols>
  <sheetData>
    <row r="2" spans="2:84" ht="15" thickBot="1">
      <c r="C2" s="11" t="s">
        <v>63</v>
      </c>
    </row>
    <row r="3" spans="2:84" ht="15" thickBot="1">
      <c r="C3" s="43"/>
      <c r="D3" s="11" t="s">
        <v>66</v>
      </c>
    </row>
    <row r="4" spans="2:84" ht="15.75" customHeight="1" thickBot="1">
      <c r="C4" s="44"/>
      <c r="D4" s="11" t="s">
        <v>69</v>
      </c>
      <c r="Z4" s="486" t="s">
        <v>297</v>
      </c>
      <c r="AA4" s="486"/>
      <c r="AB4" s="486" t="s">
        <v>294</v>
      </c>
      <c r="AC4" s="488" t="s">
        <v>293</v>
      </c>
    </row>
    <row r="5" spans="2:84" ht="15" thickBot="1">
      <c r="C5" s="45"/>
      <c r="D5" s="11" t="s">
        <v>70</v>
      </c>
      <c r="Z5" s="1802" t="s">
        <v>198</v>
      </c>
      <c r="AA5" s="1803"/>
      <c r="AB5" s="487">
        <f>'Gross UECs'!D4</f>
        <v>958.28708348749888</v>
      </c>
      <c r="AC5" s="489">
        <f>'Gross UECs'!I4</f>
        <v>69.951619189853531</v>
      </c>
    </row>
    <row r="6" spans="2:84" ht="18" customHeight="1" thickBot="1">
      <c r="C6" s="46"/>
      <c r="D6" s="47" t="s">
        <v>71</v>
      </c>
      <c r="E6" s="47"/>
      <c r="Z6" s="485" t="s">
        <v>211</v>
      </c>
      <c r="AA6" s="485"/>
      <c r="AB6" s="487">
        <f>'Gross UECs'!D15</f>
        <v>737</v>
      </c>
      <c r="AC6" s="489">
        <f>'Gross UECs'!I26</f>
        <v>105</v>
      </c>
    </row>
    <row r="7" spans="2:84" ht="15" customHeight="1">
      <c r="H7" s="394"/>
      <c r="Z7" s="485" t="s">
        <v>212</v>
      </c>
      <c r="AA7" s="485"/>
      <c r="AB7" s="487">
        <f>'Gross UECs'!D26</f>
        <v>635</v>
      </c>
      <c r="AC7" s="489">
        <f>'Gross UECs'!I15</f>
        <v>84</v>
      </c>
    </row>
    <row r="8" spans="2:84">
      <c r="H8" s="333"/>
      <c r="I8" s="334"/>
      <c r="J8" s="333"/>
      <c r="K8" s="334"/>
      <c r="L8" s="333"/>
      <c r="M8" s="334"/>
      <c r="N8" s="333"/>
      <c r="O8" s="333"/>
      <c r="P8" s="333"/>
      <c r="Z8" s="485" t="s">
        <v>296</v>
      </c>
      <c r="AA8" s="485"/>
      <c r="AB8" s="655">
        <f>452</f>
        <v>452</v>
      </c>
      <c r="AC8" s="489">
        <v>0</v>
      </c>
      <c r="AD8" s="643" t="s">
        <v>411</v>
      </c>
    </row>
    <row r="9" spans="2:84">
      <c r="Q9" s="138"/>
      <c r="Z9" s="138"/>
      <c r="AA9" s="138"/>
      <c r="AB9" s="526"/>
      <c r="BE9" s="643"/>
      <c r="BF9" s="643"/>
      <c r="BG9" s="643"/>
      <c r="BH9" s="643"/>
      <c r="BI9" s="643" t="s">
        <v>534</v>
      </c>
      <c r="BJ9" s="331"/>
      <c r="BK9" s="643"/>
      <c r="BL9" s="643"/>
      <c r="BM9" s="643"/>
      <c r="BN9" s="643"/>
      <c r="BO9" s="643"/>
      <c r="BP9" s="643"/>
      <c r="BQ9" s="643"/>
      <c r="BR9" s="643"/>
      <c r="BS9" s="643"/>
      <c r="BU9" s="643"/>
      <c r="BV9" s="643"/>
      <c r="BW9" s="643" t="s">
        <v>544</v>
      </c>
      <c r="BX9" s="643"/>
      <c r="BY9" s="643"/>
      <c r="BZ9" s="643"/>
      <c r="CA9" s="643"/>
      <c r="CB9" s="643"/>
      <c r="CC9" s="643"/>
      <c r="CD9" s="643"/>
      <c r="CE9" s="643"/>
      <c r="CF9" s="643"/>
    </row>
    <row r="10" spans="2:84">
      <c r="Q10" s="138"/>
      <c r="BE10" s="643" t="s">
        <v>517</v>
      </c>
      <c r="BF10" s="643"/>
      <c r="BG10" s="643"/>
      <c r="BH10" s="643"/>
      <c r="BI10" s="643"/>
      <c r="BJ10" s="331"/>
      <c r="BK10" s="643"/>
      <c r="BL10" s="643"/>
      <c r="BM10" s="643"/>
      <c r="BN10" s="643"/>
      <c r="BO10" s="643"/>
      <c r="BP10" s="643"/>
      <c r="BQ10" s="643"/>
      <c r="BR10" s="643"/>
      <c r="BS10" s="643"/>
      <c r="BU10" s="643" t="s">
        <v>518</v>
      </c>
      <c r="BV10" s="643"/>
      <c r="BW10" s="643"/>
      <c r="BX10" s="643"/>
      <c r="BY10" s="643"/>
      <c r="BZ10" s="643"/>
      <c r="CA10" s="643"/>
      <c r="CB10" s="643"/>
      <c r="CC10" s="643"/>
      <c r="CD10" s="643"/>
      <c r="CE10" s="643"/>
      <c r="CF10" s="643"/>
    </row>
    <row r="11" spans="2:84" ht="15" thickBot="1">
      <c r="BE11" s="643"/>
      <c r="BF11" s="643"/>
      <c r="BG11" s="643"/>
      <c r="BH11" s="643"/>
      <c r="BI11" s="643"/>
      <c r="BJ11" s="331"/>
      <c r="BK11" s="643"/>
      <c r="BL11" s="643"/>
      <c r="BM11" s="643"/>
      <c r="BN11" s="643"/>
      <c r="BO11" s="643"/>
      <c r="BP11" s="643"/>
      <c r="BQ11" s="643"/>
      <c r="BR11" s="643"/>
      <c r="BS11" s="643"/>
      <c r="BU11" s="643"/>
      <c r="BV11" s="643"/>
      <c r="BW11" s="643"/>
      <c r="BX11" s="643"/>
      <c r="BY11" s="643"/>
      <c r="BZ11" s="643"/>
      <c r="CA11" s="643"/>
      <c r="CB11" s="643"/>
      <c r="CC11" s="643"/>
      <c r="CD11" s="643"/>
      <c r="CE11" s="643"/>
      <c r="CF11" s="643"/>
    </row>
    <row r="12" spans="2:84" s="331" customFormat="1" ht="139.94999999999999" customHeight="1" thickBot="1">
      <c r="B12" s="224" t="s">
        <v>220</v>
      </c>
      <c r="C12" s="330" t="s">
        <v>221</v>
      </c>
      <c r="D12" s="223" t="str">
        <f>"SE of "&amp;C12</f>
        <v>SE of Proportions</v>
      </c>
      <c r="E12" s="224" t="s">
        <v>222</v>
      </c>
      <c r="F12" s="330" t="s">
        <v>221</v>
      </c>
      <c r="G12" s="223" t="str">
        <f>"SE of "&amp;F12</f>
        <v>SE of Proportions</v>
      </c>
      <c r="H12" s="331" t="s">
        <v>63</v>
      </c>
      <c r="I12" s="332"/>
      <c r="J12" s="330" t="s">
        <v>221</v>
      </c>
      <c r="K12" s="223" t="str">
        <f>"SE of "&amp;J12</f>
        <v>SE of Proportions</v>
      </c>
      <c r="L12" s="332" t="s">
        <v>63</v>
      </c>
      <c r="M12" s="224" t="s">
        <v>227</v>
      </c>
      <c r="N12" s="330" t="s">
        <v>221</v>
      </c>
      <c r="O12" s="223" t="str">
        <f>"SE of "&amp;N12</f>
        <v>SE of Proportions</v>
      </c>
      <c r="P12" s="263" t="s">
        <v>52</v>
      </c>
      <c r="Q12" s="224" t="s">
        <v>226</v>
      </c>
      <c r="R12" s="223" t="str">
        <f>"SE of "&amp;Q12</f>
        <v>SE of P2P Coincidence Factor</v>
      </c>
      <c r="S12" s="331" t="s">
        <v>63</v>
      </c>
      <c r="T12" s="1756" t="s">
        <v>507</v>
      </c>
      <c r="U12" s="1756"/>
      <c r="V12" s="1756" t="s">
        <v>331</v>
      </c>
      <c r="W12" s="1756"/>
      <c r="X12" s="1756"/>
      <c r="Y12" s="1756"/>
      <c r="Z12" s="1756"/>
      <c r="AA12" s="1757"/>
      <c r="AB12" s="114" t="s">
        <v>113</v>
      </c>
      <c r="AC12" s="223" t="str">
        <f>"SE of "&amp;AB12</f>
        <v>SE of Proportion of program units in this path</v>
      </c>
      <c r="AD12" s="114" t="s">
        <v>115</v>
      </c>
      <c r="AE12" s="294" t="str">
        <f>"SE of "&amp;AD12</f>
        <v>SE of Gross Full Year Consumption</v>
      </c>
      <c r="AF12" s="114" t="s">
        <v>102</v>
      </c>
      <c r="AG12" s="294" t="str">
        <f>"SE of "&amp;AF12</f>
        <v>SE of  Baseline Usage factor</v>
      </c>
      <c r="AH12" s="114" t="s">
        <v>125</v>
      </c>
      <c r="AI12" s="294" t="str">
        <f>"SE of "&amp;AH12</f>
        <v>SE of Gross Baseline UEC (Part use adjusted)</v>
      </c>
      <c r="AJ12" s="114" t="s">
        <v>99</v>
      </c>
      <c r="AK12" s="294" t="str">
        <f>"SE of "&amp;AJ12</f>
        <v>SE of Program Alternative Full Year Consumption</v>
      </c>
      <c r="AL12" s="114" t="s">
        <v>129</v>
      </c>
      <c r="AM12" s="856" t="str">
        <f>"SE of "&amp;AL12</f>
        <v>SE of Usage Factor on the grid with the Program</v>
      </c>
      <c r="AN12" s="114" t="s">
        <v>126</v>
      </c>
      <c r="AO12" s="294" t="str">
        <f>"SE of "&amp;AN12</f>
        <v>SE of Gross UEC with Program (part use adjusted)</v>
      </c>
      <c r="AP12" s="401" t="s">
        <v>112</v>
      </c>
      <c r="AQ12" s="294" t="str">
        <f>"SE of "&amp;AP12</f>
        <v>SE of Gross Unit Energy Savings</v>
      </c>
      <c r="AR12" s="114" t="s">
        <v>124</v>
      </c>
      <c r="AS12" s="401" t="s">
        <v>128</v>
      </c>
      <c r="AT12" s="294" t="str">
        <f>"SE of "&amp;AS12</f>
        <v>SE of Net Savings</v>
      </c>
      <c r="AU12" s="401" t="s">
        <v>243</v>
      </c>
      <c r="AV12" s="294" t="str">
        <f>"SE of "&amp;AU12</f>
        <v>SE of Aggregate Gross Unit Savings</v>
      </c>
      <c r="AW12" s="401" t="s">
        <v>242</v>
      </c>
      <c r="AX12" s="294" t="str">
        <f>"SE of "&amp;AW12</f>
        <v>SE of Aggregate Net Unit Savings</v>
      </c>
      <c r="AY12" s="114" t="s">
        <v>120</v>
      </c>
      <c r="AZ12" s="223" t="str">
        <f>"SE of "&amp;AY12</f>
        <v>SE of NTG Ratio</v>
      </c>
      <c r="BE12" s="1804" t="s">
        <v>519</v>
      </c>
      <c r="BF12" s="1804"/>
      <c r="BG12" s="1804"/>
      <c r="BH12" s="1804"/>
      <c r="BI12" s="1804"/>
      <c r="BJ12" s="1805"/>
      <c r="BK12" s="770" t="s">
        <v>528</v>
      </c>
      <c r="BL12" s="771" t="s">
        <v>513</v>
      </c>
      <c r="BM12" s="771" t="s">
        <v>514</v>
      </c>
      <c r="BN12" s="769" t="s">
        <v>529</v>
      </c>
      <c r="BO12" s="771" t="s">
        <v>515</v>
      </c>
      <c r="BP12" s="769" t="s">
        <v>530</v>
      </c>
      <c r="BQ12" s="771" t="s">
        <v>516</v>
      </c>
      <c r="BR12" s="769" t="s">
        <v>531</v>
      </c>
      <c r="BU12" s="1804" t="s">
        <v>519</v>
      </c>
      <c r="BV12" s="1804"/>
      <c r="BW12" s="1804"/>
      <c r="BX12" s="1804"/>
      <c r="BY12" s="1804"/>
      <c r="BZ12" s="1805"/>
      <c r="CA12" s="779" t="s">
        <v>113</v>
      </c>
      <c r="CB12" s="780" t="s">
        <v>112</v>
      </c>
      <c r="CC12" s="780" t="s">
        <v>124</v>
      </c>
      <c r="CD12" s="780" t="s">
        <v>128</v>
      </c>
      <c r="CE12" s="780" t="s">
        <v>536</v>
      </c>
      <c r="CF12" s="780" t="s">
        <v>537</v>
      </c>
    </row>
    <row r="13" spans="2:84" ht="30.75" customHeight="1" outlineLevel="1" thickBot="1">
      <c r="D13" s="134"/>
      <c r="G13" s="134"/>
      <c r="L13" s="114"/>
      <c r="O13" s="134"/>
      <c r="P13" s="134"/>
      <c r="R13" s="134"/>
      <c r="V13" s="643"/>
      <c r="W13" s="643"/>
      <c r="X13" s="643"/>
      <c r="Y13" s="643"/>
      <c r="Z13" s="643"/>
      <c r="AB13" s="135" t="s">
        <v>123</v>
      </c>
      <c r="AC13" s="136" t="s">
        <v>151</v>
      </c>
      <c r="AD13" s="136"/>
      <c r="AE13" s="136" t="s">
        <v>118</v>
      </c>
      <c r="AF13" s="136"/>
      <c r="AG13" s="136" t="s">
        <v>119</v>
      </c>
      <c r="AH13" s="136"/>
      <c r="AI13" s="137" t="s">
        <v>117</v>
      </c>
      <c r="AJ13" s="137"/>
      <c r="AK13" s="137" t="s">
        <v>122</v>
      </c>
      <c r="AL13" s="137"/>
      <c r="AM13" s="857" t="s">
        <v>150</v>
      </c>
      <c r="AN13" s="137"/>
      <c r="AO13" s="139" t="s">
        <v>127</v>
      </c>
      <c r="AP13" s="139"/>
      <c r="AQ13" s="137" t="s">
        <v>149</v>
      </c>
      <c r="AR13" s="137"/>
      <c r="AS13" s="335"/>
      <c r="AT13" s="334"/>
      <c r="AU13" s="334"/>
      <c r="AV13" s="334"/>
      <c r="AW13" s="334"/>
      <c r="AX13" s="334"/>
      <c r="AY13" s="334"/>
      <c r="AZ13" s="334"/>
      <c r="BE13" s="1560"/>
      <c r="BF13" s="1560"/>
      <c r="BG13" s="1560"/>
      <c r="BH13" s="1560"/>
      <c r="BI13" s="1560"/>
      <c r="BJ13" s="1637"/>
      <c r="BK13" s="777" t="s">
        <v>520</v>
      </c>
      <c r="BL13" s="778" t="s">
        <v>521</v>
      </c>
      <c r="BM13" s="778" t="s">
        <v>522</v>
      </c>
      <c r="BN13" s="778" t="s">
        <v>523</v>
      </c>
      <c r="BO13" s="778" t="s">
        <v>524</v>
      </c>
      <c r="BP13" s="778" t="s">
        <v>525</v>
      </c>
      <c r="BQ13" s="778" t="s">
        <v>526</v>
      </c>
      <c r="BR13" s="778" t="s">
        <v>527</v>
      </c>
      <c r="BS13" s="331"/>
      <c r="BU13" s="1560"/>
      <c r="BV13" s="1560"/>
      <c r="BW13" s="1560"/>
      <c r="BX13" s="1560"/>
      <c r="BY13" s="1560"/>
      <c r="BZ13" s="1637"/>
      <c r="CA13" s="772" t="s">
        <v>520</v>
      </c>
      <c r="CB13" s="773" t="s">
        <v>521</v>
      </c>
      <c r="CC13" s="773" t="s">
        <v>522</v>
      </c>
      <c r="CD13" s="773" t="s">
        <v>540</v>
      </c>
      <c r="CE13" s="773" t="s">
        <v>538</v>
      </c>
      <c r="CF13" s="773" t="s">
        <v>539</v>
      </c>
    </row>
    <row r="14" spans="2:84" ht="15" thickBot="1">
      <c r="B14" s="50" t="s">
        <v>31</v>
      </c>
      <c r="C14" s="71">
        <f>'Part Keep-Discard'!N13/100</f>
        <v>0.17716499999999999</v>
      </c>
      <c r="D14" s="216">
        <f>'Part Keep-Discard'!O12</f>
        <v>1.5362</v>
      </c>
      <c r="E14" s="73" t="s">
        <v>48</v>
      </c>
      <c r="F14" s="72">
        <f>'Part KIU-KU'!N13/100</f>
        <v>0.87380799999999992</v>
      </c>
      <c r="G14" s="225">
        <f>'Part KIU-KU'!O12</f>
        <v>3.2044000000000001</v>
      </c>
      <c r="H14" s="73" t="s">
        <v>66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226"/>
      <c r="T14" s="657"/>
      <c r="U14" s="657"/>
      <c r="V14" s="1753" t="s">
        <v>267</v>
      </c>
      <c r="W14" s="1753"/>
      <c r="X14" s="1753"/>
      <c r="Y14" s="1753"/>
      <c r="Z14" s="1753"/>
      <c r="AA14" s="1753"/>
      <c r="AB14" s="721">
        <f>C$14*F14</f>
        <v>0.15480819431999998</v>
      </c>
      <c r="AC14" s="871">
        <f>100*AB14*SQRT(IF($C$14&gt;0,($D$14/$C$14/100)^2,0)+IF($F14&gt;0,($G14/$F14/100)^2,0))</f>
        <v>1.4574562928733019</v>
      </c>
      <c r="AD14" s="128">
        <f t="shared" ref="AD14:AD36" si="0">$AB$5</f>
        <v>958.28708348749888</v>
      </c>
      <c r="AE14" s="868">
        <f t="shared" ref="AE14:AE36" si="1">$AC$5</f>
        <v>69.951619189853531</v>
      </c>
      <c r="AF14" s="120">
        <f>'Part KIU-KU'!O$25</f>
        <v>0.96779020000000004</v>
      </c>
      <c r="AG14" s="858">
        <f>'Part KIU-KU'!Q$25</f>
        <v>1.12687E-2</v>
      </c>
      <c r="AH14" s="124">
        <f t="shared" ref="AH14:AH25" si="2">AD14*AF14</f>
        <v>927.42084818578326</v>
      </c>
      <c r="AI14" s="862">
        <f>AH14*SQRT(IF(AD14&gt;0,(AE14/AD14)^2,0)+IF(AF14&gt;0,(AG14/AF14/100)^2,0))</f>
        <v>67.698577651152391</v>
      </c>
      <c r="AJ14" s="124">
        <f>$AB$5</f>
        <v>958.28708348749888</v>
      </c>
      <c r="AK14" s="862">
        <f>$AC$5</f>
        <v>69.951619189853531</v>
      </c>
      <c r="AL14" s="120">
        <v>0</v>
      </c>
      <c r="AM14" s="858">
        <v>0</v>
      </c>
      <c r="AN14" s="124">
        <f>AJ14*AL14</f>
        <v>0</v>
      </c>
      <c r="AO14" s="339">
        <f>AN14*SQRT(IF(AJ14&gt;0,(AK14/AJ14)^2,0)+IF(AL14&gt;0,(AM14/AL14/100)^2,0))</f>
        <v>0</v>
      </c>
      <c r="AP14" s="847">
        <f>AH14-AN14</f>
        <v>927.42084818578326</v>
      </c>
      <c r="AQ14" s="886">
        <f>SQRT(AO14^2+AI14^2)</f>
        <v>67.698577651152391</v>
      </c>
      <c r="AR14" s="141">
        <v>1</v>
      </c>
      <c r="AS14" s="140">
        <f>AP14*AR14</f>
        <v>927.42084818578326</v>
      </c>
      <c r="AT14" s="886">
        <f>AQ14</f>
        <v>67.698577651152391</v>
      </c>
      <c r="AU14" s="847">
        <f>AP14*AB14</f>
        <v>143.57234688236395</v>
      </c>
      <c r="AV14" s="886">
        <f>AU14*SQRT(IF(AB14&gt;0,(AC14/AB14/100)^2,0)+IF(AP14&gt;0,(AQ14/AP14),0))</f>
        <v>41.077769074538239</v>
      </c>
      <c r="AW14" s="847">
        <f t="shared" ref="AW14:AW36" si="3">AS14*AB14</f>
        <v>143.57234688236395</v>
      </c>
      <c r="AX14" s="886">
        <f>AW14*SQRT(IF(AS14&gt;0,(AT14/AS14)^2,0)+IF(AB14&gt;0,(AC14/AB14/100)^2,0))</f>
        <v>17.103777351565668</v>
      </c>
      <c r="AY14" s="852">
        <f>IF(AU14&gt;0,AW14/AU14,0)</f>
        <v>1</v>
      </c>
      <c r="AZ14" s="892">
        <f>AY14*SQRT(IF(AU14&gt;0,(AV14/AU14)^2,0)+IF(AW14&gt;0,(AX14/AW14)^2,0))</f>
        <v>0.30992262036790941</v>
      </c>
      <c r="BE14" s="1575" t="s">
        <v>267</v>
      </c>
      <c r="BF14" s="1575"/>
      <c r="BG14" s="1575"/>
      <c r="BH14" s="1575"/>
      <c r="BI14" s="1575"/>
      <c r="BJ14" s="1575"/>
      <c r="BK14" s="765">
        <f>AB14</f>
        <v>0.15480819431999998</v>
      </c>
      <c r="BL14" s="766">
        <f>AD14</f>
        <v>958.28708348749888</v>
      </c>
      <c r="BM14" s="767">
        <f>AF14</f>
        <v>0.96779020000000004</v>
      </c>
      <c r="BN14" s="766">
        <f>AH14</f>
        <v>927.42084818578326</v>
      </c>
      <c r="BO14" s="766">
        <f>AJ14</f>
        <v>958.28708348749888</v>
      </c>
      <c r="BP14" s="766">
        <f>AL14</f>
        <v>0</v>
      </c>
      <c r="BQ14" s="766">
        <f>AN14</f>
        <v>0</v>
      </c>
      <c r="BR14" s="766">
        <f>AP14</f>
        <v>927.42084818578326</v>
      </c>
      <c r="BS14" s="643"/>
      <c r="BU14" s="1575" t="s">
        <v>267</v>
      </c>
      <c r="BV14" s="1575"/>
      <c r="BW14" s="1575"/>
      <c r="BX14" s="1575"/>
      <c r="BY14" s="1575"/>
      <c r="BZ14" s="1575"/>
      <c r="CA14" s="765">
        <f>AB14</f>
        <v>0.15480819431999998</v>
      </c>
      <c r="CB14" s="781">
        <f>AP14</f>
        <v>927.42084818578326</v>
      </c>
      <c r="CC14" s="782">
        <f>AR14</f>
        <v>1</v>
      </c>
      <c r="CD14" s="783">
        <f>AS14</f>
        <v>927.42084818578326</v>
      </c>
      <c r="CE14" s="782">
        <f>AU14</f>
        <v>143.57234688236395</v>
      </c>
      <c r="CF14" s="782">
        <f>AW14</f>
        <v>143.57234688236395</v>
      </c>
    </row>
    <row r="15" spans="2:84" ht="15" thickBot="1">
      <c r="B15" s="60"/>
      <c r="C15" s="81"/>
      <c r="D15" s="217"/>
      <c r="E15" s="73" t="s">
        <v>49</v>
      </c>
      <c r="F15" s="72">
        <f>'Part KIU-KU'!N12/100</f>
        <v>0.126192</v>
      </c>
      <c r="G15" s="225">
        <f>'Part KIU-KU'!O13</f>
        <v>3.2044000000000001</v>
      </c>
      <c r="H15" s="73" t="s">
        <v>66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226"/>
      <c r="T15" s="657"/>
      <c r="U15" s="657"/>
      <c r="V15" s="1753" t="s">
        <v>268</v>
      </c>
      <c r="W15" s="1753"/>
      <c r="X15" s="1753"/>
      <c r="Y15" s="1753"/>
      <c r="Z15" s="1753"/>
      <c r="AA15" s="1753"/>
      <c r="AB15" s="721">
        <f>C$14*F15</f>
        <v>2.2356805679999998E-2</v>
      </c>
      <c r="AC15" s="871">
        <f>100*AB15*SQRT(IF($C$14&gt;0,($D$14/$C$14/100)^2,0)+IF(F15&gt;0,(G15/F15/100)^2,0))</f>
        <v>0.59989335896053064</v>
      </c>
      <c r="AD15" s="129">
        <f t="shared" si="0"/>
        <v>958.28708348749888</v>
      </c>
      <c r="AE15" s="869">
        <f t="shared" si="1"/>
        <v>69.951619189853531</v>
      </c>
      <c r="AF15" s="119">
        <v>0</v>
      </c>
      <c r="AG15" s="859">
        <v>0</v>
      </c>
      <c r="AH15" s="125">
        <f t="shared" si="2"/>
        <v>0</v>
      </c>
      <c r="AI15" s="863">
        <f t="shared" ref="AI15:AI36" si="4">AH15*SQRT(IF(AD15&gt;0,(AE15/AD15)^2,0)+IF(AF15&gt;0,(AG15/AF15/100)^2,0))</f>
        <v>0</v>
      </c>
      <c r="AJ15" s="125">
        <f>$AB$5</f>
        <v>958.28708348749888</v>
      </c>
      <c r="AK15" s="863">
        <f>$AC$5</f>
        <v>69.951619189853531</v>
      </c>
      <c r="AL15" s="522">
        <v>0</v>
      </c>
      <c r="AM15" s="859">
        <v>0</v>
      </c>
      <c r="AN15" s="117">
        <f t="shared" ref="AN15:AN35" si="5">AL15*AJ15</f>
        <v>0</v>
      </c>
      <c r="AO15" s="348">
        <f t="shared" ref="AO15:AO36" si="6">AN15*SQRT(IF(AJ15&gt;0,(AK15/AJ15)^2,0)+IF(AL15&gt;0,(AM15/AL15/100)^2,0))</f>
        <v>0</v>
      </c>
      <c r="AP15" s="848">
        <f t="shared" ref="AP15:AP36" si="7">AH15-AN15</f>
        <v>0</v>
      </c>
      <c r="AQ15" s="887">
        <f t="shared" ref="AQ15:AQ36" si="8">SQRT(AO15^2+AI15^2)</f>
        <v>0</v>
      </c>
      <c r="AR15" s="143">
        <v>1</v>
      </c>
      <c r="AS15" s="142">
        <f t="shared" ref="AS15:AS36" si="9">AP15*AR15</f>
        <v>0</v>
      </c>
      <c r="AT15" s="887">
        <f t="shared" ref="AT15:AT36" si="10">AQ15</f>
        <v>0</v>
      </c>
      <c r="AU15" s="848">
        <f t="shared" ref="AU15:AU36" si="11">AP15*AB15</f>
        <v>0</v>
      </c>
      <c r="AV15" s="887">
        <f t="shared" ref="AV15:AV36" si="12">AU15*SQRT(IF(AB15&gt;0,(AC15/AB15/100)^2,0)+IF(AP15&gt;0,(AQ15/AP15),0))</f>
        <v>0</v>
      </c>
      <c r="AW15" s="848">
        <f t="shared" si="3"/>
        <v>0</v>
      </c>
      <c r="AX15" s="887">
        <f t="shared" ref="AX15:AX36" si="13">AW15*SQRT(IF(AS15&gt;0,(AT15/AS15)^2,0)+IF(AB15&gt;0,(AC15/AB15/100)^2,0))</f>
        <v>0</v>
      </c>
      <c r="AY15" s="853" t="s">
        <v>130</v>
      </c>
      <c r="AZ15" s="887" t="s">
        <v>130</v>
      </c>
      <c r="BE15" s="1575" t="s">
        <v>268</v>
      </c>
      <c r="BF15" s="1575"/>
      <c r="BG15" s="1575"/>
      <c r="BH15" s="1575"/>
      <c r="BI15" s="1575"/>
      <c r="BJ15" s="1575"/>
      <c r="BK15" s="765">
        <f t="shared" ref="BK15:BK36" si="14">AB15</f>
        <v>2.2356805679999998E-2</v>
      </c>
      <c r="BL15" s="766">
        <f t="shared" ref="BL15:BL36" si="15">AD15</f>
        <v>958.28708348749888</v>
      </c>
      <c r="BM15" s="767">
        <f t="shared" ref="BM15:BM36" si="16">AF15</f>
        <v>0</v>
      </c>
      <c r="BN15" s="766">
        <f t="shared" ref="BN15:BN36" si="17">AH15</f>
        <v>0</v>
      </c>
      <c r="BO15" s="766">
        <f t="shared" ref="BO15:BO36" si="18">AJ15</f>
        <v>958.28708348749888</v>
      </c>
      <c r="BP15" s="766">
        <f t="shared" ref="BP15:BP36" si="19">AL15</f>
        <v>0</v>
      </c>
      <c r="BQ15" s="766">
        <f t="shared" ref="BQ15:BQ36" si="20">AN15</f>
        <v>0</v>
      </c>
      <c r="BR15" s="766">
        <f t="shared" ref="BR15:BR36" si="21">AP15</f>
        <v>0</v>
      </c>
      <c r="BS15" s="643"/>
      <c r="BU15" s="1575" t="s">
        <v>268</v>
      </c>
      <c r="BV15" s="1575"/>
      <c r="BW15" s="1575"/>
      <c r="BX15" s="1575"/>
      <c r="BY15" s="1575"/>
      <c r="BZ15" s="1575"/>
      <c r="CA15" s="765">
        <f t="shared" ref="CA15:CA36" si="22">AB15</f>
        <v>2.2356805679999998E-2</v>
      </c>
      <c r="CB15" s="781">
        <f t="shared" ref="CB15:CB36" si="23">AP15</f>
        <v>0</v>
      </c>
      <c r="CC15" s="782">
        <f t="shared" ref="CC15:CD36" si="24">AR15</f>
        <v>1</v>
      </c>
      <c r="CD15" s="783">
        <f t="shared" si="24"/>
        <v>0</v>
      </c>
      <c r="CE15" s="782">
        <f t="shared" ref="CE15:CE36" si="25">AU15</f>
        <v>0</v>
      </c>
      <c r="CF15" s="782">
        <f t="shared" ref="CF15:CF36" si="26">AW15</f>
        <v>0</v>
      </c>
    </row>
    <row r="16" spans="2:84" ht="15" thickBot="1">
      <c r="B16" s="50" t="s">
        <v>32</v>
      </c>
      <c r="C16" s="71">
        <f>'Part Keep-Discard'!N12/100</f>
        <v>0.82283499999999998</v>
      </c>
      <c r="D16" s="216">
        <f>'Part Keep-Discard'!O13</f>
        <v>1.5362</v>
      </c>
      <c r="E16" s="57" t="s">
        <v>53</v>
      </c>
      <c r="F16" s="67">
        <f>'Discarder Disposition'!Q13/100</f>
        <v>0.20858499999999999</v>
      </c>
      <c r="G16" s="227">
        <f>'Discarder Disposition'!R13</f>
        <v>3.6528</v>
      </c>
      <c r="H16" s="57" t="s">
        <v>64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228"/>
      <c r="T16" s="57"/>
      <c r="U16" s="57"/>
      <c r="V16" s="1791" t="s">
        <v>133</v>
      </c>
      <c r="W16" s="1791"/>
      <c r="X16" s="1791"/>
      <c r="Y16" s="1791"/>
      <c r="Z16" s="1791"/>
      <c r="AA16" s="1791"/>
      <c r="AB16" s="722">
        <f>C$16*F16</f>
        <v>0.171631038475</v>
      </c>
      <c r="AC16" s="872">
        <f>100*AB16*SQRT(IF($C$16&gt;0,($D$16/$C$16/100)^2,0)+IF(F16&gt;0,(G16/F16/100)^2,0))</f>
        <v>3.022683633839049</v>
      </c>
      <c r="AD16" s="130">
        <f t="shared" si="0"/>
        <v>958.28708348749888</v>
      </c>
      <c r="AE16" s="870">
        <f t="shared" si="1"/>
        <v>69.951619189853531</v>
      </c>
      <c r="AF16" s="122">
        <v>0.97</v>
      </c>
      <c r="AG16" s="860">
        <v>0</v>
      </c>
      <c r="AH16" s="125">
        <v>954</v>
      </c>
      <c r="AI16" s="864">
        <f t="shared" si="4"/>
        <v>69.63867702803158</v>
      </c>
      <c r="AJ16" s="126">
        <v>391</v>
      </c>
      <c r="AK16" s="864"/>
      <c r="AL16" s="121">
        <v>1</v>
      </c>
      <c r="AM16" s="860">
        <v>0</v>
      </c>
      <c r="AN16" s="126">
        <v>390</v>
      </c>
      <c r="AO16" s="349">
        <f t="shared" si="6"/>
        <v>0</v>
      </c>
      <c r="AP16" s="849">
        <f t="shared" si="7"/>
        <v>564</v>
      </c>
      <c r="AQ16" s="888">
        <f t="shared" si="8"/>
        <v>69.63867702803158</v>
      </c>
      <c r="AR16" s="145">
        <v>0</v>
      </c>
      <c r="AS16" s="146">
        <f t="shared" si="9"/>
        <v>0</v>
      </c>
      <c r="AT16" s="888">
        <f t="shared" si="10"/>
        <v>69.63867702803158</v>
      </c>
      <c r="AU16" s="849">
        <f t="shared" si="11"/>
        <v>96.799905699899995</v>
      </c>
      <c r="AV16" s="888">
        <f t="shared" si="12"/>
        <v>38.047337921862422</v>
      </c>
      <c r="AW16" s="851">
        <f t="shared" si="3"/>
        <v>0</v>
      </c>
      <c r="AX16" s="888">
        <f t="shared" si="13"/>
        <v>0</v>
      </c>
      <c r="AY16" s="854">
        <f>IF(AU16&gt;0,AW16/AU16,0)</f>
        <v>0</v>
      </c>
      <c r="AZ16" s="893">
        <f>AY16*SQRT(IF(AU16&gt;0,(AV16/AU16)^2,0)+IF(AW16&gt;0,(AX16/AW16)^2,0))</f>
        <v>0</v>
      </c>
      <c r="BE16" s="1575" t="s">
        <v>133</v>
      </c>
      <c r="BF16" s="1575"/>
      <c r="BG16" s="1575"/>
      <c r="BH16" s="1575"/>
      <c r="BI16" s="1575"/>
      <c r="BJ16" s="1575"/>
      <c r="BK16" s="765">
        <f t="shared" si="14"/>
        <v>0.171631038475</v>
      </c>
      <c r="BL16" s="766">
        <f t="shared" si="15"/>
        <v>958.28708348749888</v>
      </c>
      <c r="BM16" s="767">
        <f t="shared" si="16"/>
        <v>0.97</v>
      </c>
      <c r="BN16" s="766">
        <f t="shared" si="17"/>
        <v>954</v>
      </c>
      <c r="BO16" s="766">
        <f t="shared" si="18"/>
        <v>391</v>
      </c>
      <c r="BP16" s="766">
        <f t="shared" si="19"/>
        <v>1</v>
      </c>
      <c r="BQ16" s="766">
        <f t="shared" si="20"/>
        <v>390</v>
      </c>
      <c r="BR16" s="766">
        <f t="shared" si="21"/>
        <v>564</v>
      </c>
      <c r="BS16" s="643"/>
      <c r="BU16" s="1575" t="s">
        <v>133</v>
      </c>
      <c r="BV16" s="1575"/>
      <c r="BW16" s="1575"/>
      <c r="BX16" s="1575"/>
      <c r="BY16" s="1575"/>
      <c r="BZ16" s="1575"/>
      <c r="CA16" s="765">
        <f t="shared" si="22"/>
        <v>0.171631038475</v>
      </c>
      <c r="CB16" s="781">
        <f t="shared" si="23"/>
        <v>564</v>
      </c>
      <c r="CC16" s="782">
        <f t="shared" si="24"/>
        <v>0</v>
      </c>
      <c r="CD16" s="783">
        <f t="shared" si="24"/>
        <v>0</v>
      </c>
      <c r="CE16" s="782">
        <f t="shared" si="25"/>
        <v>96.799905699899995</v>
      </c>
      <c r="CF16" s="782">
        <f t="shared" si="26"/>
        <v>0</v>
      </c>
    </row>
    <row r="17" spans="2:84" ht="15" thickBot="1">
      <c r="B17" s="60"/>
      <c r="C17" s="218"/>
      <c r="D17" s="219"/>
      <c r="E17" s="52" t="s">
        <v>62</v>
      </c>
      <c r="F17" s="68">
        <f>'Discarder Disposition'!Q14/100</f>
        <v>0.31685999999999998</v>
      </c>
      <c r="G17" s="229">
        <f>'Discarder Disposition'!R14</f>
        <v>4.1946000000000003</v>
      </c>
      <c r="H17" s="52" t="s">
        <v>64</v>
      </c>
      <c r="I17" s="230"/>
      <c r="J17" s="230"/>
      <c r="K17" s="230"/>
      <c r="L17" s="231"/>
      <c r="M17" s="1959" t="s">
        <v>59</v>
      </c>
      <c r="N17" s="1957">
        <f>'P2P CF if Unit not available'!O85/100</f>
        <v>0.81067800000000001</v>
      </c>
      <c r="O17" s="232">
        <f>'P2P CF if Unit not available'!P85</f>
        <v>3.3698000000000001</v>
      </c>
      <c r="P17" s="717" t="s">
        <v>72</v>
      </c>
      <c r="Q17" s="718">
        <f>'P2P CF if Unit not available'!O16/100</f>
        <v>0</v>
      </c>
      <c r="R17" s="233">
        <f>'P2P CF if Unit not available'!P16</f>
        <v>0</v>
      </c>
      <c r="S17" s="1962" t="s">
        <v>67</v>
      </c>
      <c r="T17" s="209"/>
      <c r="U17" s="209"/>
      <c r="V17" s="1782" t="s">
        <v>340</v>
      </c>
      <c r="W17" s="1782" t="s">
        <v>341</v>
      </c>
      <c r="X17" s="1782" t="s">
        <v>342</v>
      </c>
      <c r="Y17" s="1785" t="s">
        <v>344</v>
      </c>
      <c r="Z17" s="1785"/>
      <c r="AA17" s="1785"/>
      <c r="AB17" s="723">
        <f>C$16*F$17*N$17*Q17</f>
        <v>0</v>
      </c>
      <c r="AC17" s="873">
        <f>100*AB17*SQRT(IF($C$16&gt;0,($D$16/$C$16/100)^2,0)+IF($F$17&gt;0,($G$17/$F$17/100)^2,0)+IF($N$17&gt;0,($O$17/$N$17/100)^2,0)+IF(Q17&gt;0,(R17/Q17/100)^2,0))</f>
        <v>0</v>
      </c>
      <c r="AD17" s="128">
        <f t="shared" si="0"/>
        <v>958.28708348749888</v>
      </c>
      <c r="AE17" s="868">
        <f t="shared" si="1"/>
        <v>69.951619189853531</v>
      </c>
      <c r="AF17" s="120">
        <v>1</v>
      </c>
      <c r="AG17" s="858">
        <v>0</v>
      </c>
      <c r="AH17" s="124">
        <f t="shared" si="2"/>
        <v>958.28708348749888</v>
      </c>
      <c r="AI17" s="862">
        <f t="shared" si="4"/>
        <v>69.951619189853531</v>
      </c>
      <c r="AJ17" s="131">
        <f>$AB$6</f>
        <v>737</v>
      </c>
      <c r="AK17" s="865">
        <f>$AC$6</f>
        <v>105</v>
      </c>
      <c r="AL17" s="521">
        <v>1</v>
      </c>
      <c r="AM17" s="858">
        <v>0</v>
      </c>
      <c r="AN17" s="124">
        <f t="shared" si="5"/>
        <v>737</v>
      </c>
      <c r="AO17" s="339">
        <f t="shared" si="6"/>
        <v>104.99999999999999</v>
      </c>
      <c r="AP17" s="847">
        <f t="shared" si="7"/>
        <v>221.28708348749888</v>
      </c>
      <c r="AQ17" s="886">
        <f t="shared" si="8"/>
        <v>126.16746421832485</v>
      </c>
      <c r="AR17" s="141">
        <v>1</v>
      </c>
      <c r="AS17" s="140">
        <f t="shared" si="9"/>
        <v>221.28708348749888</v>
      </c>
      <c r="AT17" s="886">
        <f t="shared" si="10"/>
        <v>126.16746421832485</v>
      </c>
      <c r="AU17" s="847">
        <f t="shared" si="11"/>
        <v>0</v>
      </c>
      <c r="AV17" s="886">
        <f t="shared" si="12"/>
        <v>0</v>
      </c>
      <c r="AW17" s="847">
        <f t="shared" si="3"/>
        <v>0</v>
      </c>
      <c r="AX17" s="886">
        <f t="shared" si="13"/>
        <v>0</v>
      </c>
      <c r="AY17" s="852">
        <f>IF(AU17&gt;0,AW17/AU17,0)</f>
        <v>0</v>
      </c>
      <c r="AZ17" s="892">
        <f t="shared" ref="AZ17:AZ36" si="27">AY17*SQRT(IF(AU17&gt;0,(AV17/AU17)^2,0)+IF(AW17&gt;0,(AX17/AW17)^2,0))</f>
        <v>0</v>
      </c>
      <c r="BE17" s="1583" t="s">
        <v>340</v>
      </c>
      <c r="BF17" s="1592" t="s">
        <v>341</v>
      </c>
      <c r="BG17" s="1592" t="s">
        <v>342</v>
      </c>
      <c r="BH17" s="1575" t="s">
        <v>344</v>
      </c>
      <c r="BI17" s="1575"/>
      <c r="BJ17" s="1575"/>
      <c r="BK17" s="765">
        <f t="shared" si="14"/>
        <v>0</v>
      </c>
      <c r="BL17" s="766">
        <f t="shared" si="15"/>
        <v>958.28708348749888</v>
      </c>
      <c r="BM17" s="767">
        <f t="shared" si="16"/>
        <v>1</v>
      </c>
      <c r="BN17" s="766">
        <f t="shared" si="17"/>
        <v>958.28708348749888</v>
      </c>
      <c r="BO17" s="766">
        <f t="shared" si="18"/>
        <v>737</v>
      </c>
      <c r="BP17" s="766">
        <f t="shared" si="19"/>
        <v>1</v>
      </c>
      <c r="BQ17" s="766">
        <f t="shared" si="20"/>
        <v>737</v>
      </c>
      <c r="BR17" s="766">
        <f t="shared" si="21"/>
        <v>221.28708348749888</v>
      </c>
      <c r="BS17" s="643"/>
      <c r="BU17" s="1583" t="s">
        <v>340</v>
      </c>
      <c r="BV17" s="1592" t="s">
        <v>341</v>
      </c>
      <c r="BW17" s="1592" t="s">
        <v>342</v>
      </c>
      <c r="BX17" s="1575" t="s">
        <v>344</v>
      </c>
      <c r="BY17" s="1575"/>
      <c r="BZ17" s="1575"/>
      <c r="CA17" s="765">
        <f t="shared" si="22"/>
        <v>0</v>
      </c>
      <c r="CB17" s="781">
        <f t="shared" si="23"/>
        <v>221.28708348749888</v>
      </c>
      <c r="CC17" s="782">
        <f t="shared" si="24"/>
        <v>1</v>
      </c>
      <c r="CD17" s="783">
        <f t="shared" si="24"/>
        <v>221.28708348749888</v>
      </c>
      <c r="CE17" s="782">
        <f t="shared" si="25"/>
        <v>0</v>
      </c>
      <c r="CF17" s="782">
        <f t="shared" si="26"/>
        <v>0</v>
      </c>
    </row>
    <row r="18" spans="2:84" ht="15" thickBot="1">
      <c r="B18" s="60"/>
      <c r="C18" s="218"/>
      <c r="D18" s="219"/>
      <c r="E18" s="52"/>
      <c r="F18" s="68"/>
      <c r="G18" s="229"/>
      <c r="H18" s="52"/>
      <c r="I18" s="52"/>
      <c r="J18" s="52"/>
      <c r="K18" s="52"/>
      <c r="L18" s="59"/>
      <c r="M18" s="1941"/>
      <c r="N18" s="1958"/>
      <c r="O18" s="232"/>
      <c r="P18" s="89" t="s">
        <v>73</v>
      </c>
      <c r="Q18" s="90">
        <f>'P2P CF if Unit not available'!O17/100</f>
        <v>0.23064299999999999</v>
      </c>
      <c r="R18" s="233">
        <f>'P2P CF if Unit not available'!P17</f>
        <v>6.0068000000000001</v>
      </c>
      <c r="S18" s="1963"/>
      <c r="T18" s="209"/>
      <c r="U18" s="209"/>
      <c r="V18" s="1782"/>
      <c r="W18" s="1782"/>
      <c r="X18" s="1782"/>
      <c r="Y18" s="1785" t="s">
        <v>345</v>
      </c>
      <c r="Z18" s="1785"/>
      <c r="AA18" s="1785"/>
      <c r="AB18" s="723">
        <f>C$16*F$17*N$17*Q18</f>
        <v>4.8749351201291015E-2</v>
      </c>
      <c r="AC18" s="874">
        <f>100*AB18*SQRT(IF($C$16&gt;0,($D$16/$C$16/100)^2,0)+IF($F$17&gt;0,($G$17/$F$17/100)^2,0)+IF($N$17&gt;0,($O$17/$N$17/100)^2,0)+IF(Q18&gt;0,(R18/Q18/100)^2,0))</f>
        <v>1.4414355330323816</v>
      </c>
      <c r="AD18" s="129">
        <f t="shared" si="0"/>
        <v>958.28708348749888</v>
      </c>
      <c r="AE18" s="869">
        <f t="shared" si="1"/>
        <v>69.951619189853531</v>
      </c>
      <c r="AF18" s="119">
        <v>1</v>
      </c>
      <c r="AG18" s="859">
        <v>0</v>
      </c>
      <c r="AH18" s="125">
        <f t="shared" si="2"/>
        <v>958.28708348749888</v>
      </c>
      <c r="AI18" s="863">
        <f t="shared" si="4"/>
        <v>69.951619189853531</v>
      </c>
      <c r="AJ18" s="125">
        <f>$AB$7</f>
        <v>635</v>
      </c>
      <c r="AK18" s="863">
        <f>$AC$7</f>
        <v>84</v>
      </c>
      <c r="AL18" s="522">
        <v>1</v>
      </c>
      <c r="AM18" s="859">
        <v>0</v>
      </c>
      <c r="AN18" s="125">
        <f t="shared" si="5"/>
        <v>635</v>
      </c>
      <c r="AO18" s="340">
        <f t="shared" si="6"/>
        <v>84</v>
      </c>
      <c r="AP18" s="850">
        <f t="shared" si="7"/>
        <v>323.28708348749888</v>
      </c>
      <c r="AQ18" s="889">
        <f t="shared" si="8"/>
        <v>109.31252914136735</v>
      </c>
      <c r="AR18" s="148">
        <v>1</v>
      </c>
      <c r="AS18" s="147">
        <f t="shared" si="9"/>
        <v>323.28708348749888</v>
      </c>
      <c r="AT18" s="889">
        <f t="shared" si="10"/>
        <v>109.31252914136735</v>
      </c>
      <c r="AU18" s="850">
        <f t="shared" si="11"/>
        <v>15.760035571773171</v>
      </c>
      <c r="AV18" s="889">
        <f t="shared" si="12"/>
        <v>10.281014249243778</v>
      </c>
      <c r="AW18" s="850">
        <f t="shared" si="3"/>
        <v>15.760035571773171</v>
      </c>
      <c r="AX18" s="889">
        <f t="shared" si="13"/>
        <v>7.0790324024721452</v>
      </c>
      <c r="AY18" s="853">
        <f t="shared" ref="AY18:AY36" si="28">IF(AU18&gt;0,AW18/AU18,0)</f>
        <v>1</v>
      </c>
      <c r="AZ18" s="894">
        <f t="shared" si="27"/>
        <v>0.79203284759325121</v>
      </c>
      <c r="BE18" s="1583"/>
      <c r="BF18" s="1593"/>
      <c r="BG18" s="1593"/>
      <c r="BH18" s="1575" t="s">
        <v>345</v>
      </c>
      <c r="BI18" s="1575"/>
      <c r="BJ18" s="1575"/>
      <c r="BK18" s="765">
        <f t="shared" si="14"/>
        <v>4.8749351201291015E-2</v>
      </c>
      <c r="BL18" s="766">
        <f t="shared" si="15"/>
        <v>958.28708348749888</v>
      </c>
      <c r="BM18" s="767">
        <f t="shared" si="16"/>
        <v>1</v>
      </c>
      <c r="BN18" s="766">
        <f t="shared" si="17"/>
        <v>958.28708348749888</v>
      </c>
      <c r="BO18" s="766">
        <f t="shared" si="18"/>
        <v>635</v>
      </c>
      <c r="BP18" s="766">
        <f t="shared" si="19"/>
        <v>1</v>
      </c>
      <c r="BQ18" s="766">
        <f t="shared" si="20"/>
        <v>635</v>
      </c>
      <c r="BR18" s="766">
        <f t="shared" si="21"/>
        <v>323.28708348749888</v>
      </c>
      <c r="BS18" s="643"/>
      <c r="BU18" s="1583"/>
      <c r="BV18" s="1593"/>
      <c r="BW18" s="1593"/>
      <c r="BX18" s="1575" t="s">
        <v>345</v>
      </c>
      <c r="BY18" s="1575"/>
      <c r="BZ18" s="1575"/>
      <c r="CA18" s="765">
        <f t="shared" si="22"/>
        <v>4.8749351201291015E-2</v>
      </c>
      <c r="CB18" s="781">
        <f t="shared" si="23"/>
        <v>323.28708348749888</v>
      </c>
      <c r="CC18" s="782">
        <f t="shared" si="24"/>
        <v>1</v>
      </c>
      <c r="CD18" s="783">
        <f t="shared" si="24"/>
        <v>323.28708348749888</v>
      </c>
      <c r="CE18" s="782">
        <f t="shared" si="25"/>
        <v>15.760035571773171</v>
      </c>
      <c r="CF18" s="782">
        <f t="shared" si="26"/>
        <v>15.760035571773171</v>
      </c>
    </row>
    <row r="19" spans="2:84" ht="15" thickBot="1">
      <c r="B19" s="60"/>
      <c r="C19" s="218"/>
      <c r="D19" s="219"/>
      <c r="E19" s="52"/>
      <c r="F19" s="68"/>
      <c r="G19" s="229"/>
      <c r="H19" s="52"/>
      <c r="I19" s="52"/>
      <c r="J19" s="52"/>
      <c r="K19" s="52"/>
      <c r="L19" s="59"/>
      <c r="M19" s="1941"/>
      <c r="N19" s="1958"/>
      <c r="O19" s="232"/>
      <c r="P19" s="89" t="s">
        <v>74</v>
      </c>
      <c r="Q19" s="90">
        <f>'P2P CF if Unit not available'!O18/100</f>
        <v>0.50824199999999997</v>
      </c>
      <c r="R19" s="233">
        <f>'P2P CF if Unit not available'!P18</f>
        <v>7.2729999999999997</v>
      </c>
      <c r="S19" s="1963"/>
      <c r="T19" s="209"/>
      <c r="U19" s="209"/>
      <c r="V19" s="1782"/>
      <c r="W19" s="1782"/>
      <c r="X19" s="1782"/>
      <c r="Y19" s="1785" t="s">
        <v>346</v>
      </c>
      <c r="Z19" s="1785"/>
      <c r="AA19" s="1785"/>
      <c r="AB19" s="723">
        <f t="shared" ref="AB19" si="29">C$16*F$17*N$17*Q19</f>
        <v>0.10742345422686381</v>
      </c>
      <c r="AC19" s="874">
        <f>100*AB19*SQRT(IF($C$16&gt;0,($D$16/$C$16/100)^2,0)+IF($F$17&gt;0,($G$17/$F$17/100)^2,0)+IF($N$17&gt;0,($O$17/$N$17/100)^2,0)+IF(Q19&gt;0,(R19/Q19/100)^2,0))</f>
        <v>2.1505864859661825</v>
      </c>
      <c r="AD19" s="129">
        <f t="shared" si="0"/>
        <v>958.28708348749888</v>
      </c>
      <c r="AE19" s="869">
        <f t="shared" si="1"/>
        <v>69.951619189853531</v>
      </c>
      <c r="AF19" s="119">
        <v>1</v>
      </c>
      <c r="AG19" s="859">
        <v>0</v>
      </c>
      <c r="AH19" s="125">
        <f t="shared" si="2"/>
        <v>958.28708348749888</v>
      </c>
      <c r="AI19" s="863">
        <f t="shared" si="4"/>
        <v>69.951619189853531</v>
      </c>
      <c r="AJ19" s="422">
        <f>AB8</f>
        <v>452</v>
      </c>
      <c r="AK19" s="866"/>
      <c r="AL19" s="522">
        <v>1</v>
      </c>
      <c r="AM19" s="859">
        <v>0</v>
      </c>
      <c r="AN19" s="125">
        <f t="shared" si="5"/>
        <v>452</v>
      </c>
      <c r="AO19" s="340">
        <f t="shared" si="6"/>
        <v>0</v>
      </c>
      <c r="AP19" s="850">
        <f t="shared" si="7"/>
        <v>506.28708348749888</v>
      </c>
      <c r="AQ19" s="889">
        <f t="shared" si="8"/>
        <v>69.951619189853531</v>
      </c>
      <c r="AR19" s="148">
        <v>1</v>
      </c>
      <c r="AS19" s="147">
        <f t="shared" si="9"/>
        <v>506.28708348749888</v>
      </c>
      <c r="AT19" s="889">
        <f t="shared" si="10"/>
        <v>69.951619189853531</v>
      </c>
      <c r="AU19" s="850">
        <f t="shared" si="11"/>
        <v>54.387107338671711</v>
      </c>
      <c r="AV19" s="889">
        <f t="shared" si="12"/>
        <v>22.961718804183867</v>
      </c>
      <c r="AW19" s="850">
        <f t="shared" si="3"/>
        <v>54.387107338671711</v>
      </c>
      <c r="AX19" s="889">
        <f t="shared" si="13"/>
        <v>13.229455942268684</v>
      </c>
      <c r="AY19" s="853">
        <f t="shared" si="28"/>
        <v>1</v>
      </c>
      <c r="AZ19" s="894">
        <f t="shared" si="27"/>
        <v>0.48725096382827437</v>
      </c>
      <c r="BE19" s="1583"/>
      <c r="BF19" s="1593"/>
      <c r="BG19" s="1593"/>
      <c r="BH19" s="1575" t="s">
        <v>346</v>
      </c>
      <c r="BI19" s="1575"/>
      <c r="BJ19" s="1575"/>
      <c r="BK19" s="765">
        <f t="shared" si="14"/>
        <v>0.10742345422686381</v>
      </c>
      <c r="BL19" s="766">
        <f t="shared" si="15"/>
        <v>958.28708348749888</v>
      </c>
      <c r="BM19" s="767">
        <f t="shared" si="16"/>
        <v>1</v>
      </c>
      <c r="BN19" s="766">
        <f t="shared" si="17"/>
        <v>958.28708348749888</v>
      </c>
      <c r="BO19" s="766">
        <f t="shared" si="18"/>
        <v>452</v>
      </c>
      <c r="BP19" s="766">
        <f t="shared" si="19"/>
        <v>1</v>
      </c>
      <c r="BQ19" s="766">
        <f t="shared" si="20"/>
        <v>452</v>
      </c>
      <c r="BR19" s="766">
        <f t="shared" si="21"/>
        <v>506.28708348749888</v>
      </c>
      <c r="BS19" s="643"/>
      <c r="BU19" s="1583"/>
      <c r="BV19" s="1593"/>
      <c r="BW19" s="1593"/>
      <c r="BX19" s="1575" t="s">
        <v>346</v>
      </c>
      <c r="BY19" s="1575"/>
      <c r="BZ19" s="1575"/>
      <c r="CA19" s="765">
        <f t="shared" si="22"/>
        <v>0.10742345422686381</v>
      </c>
      <c r="CB19" s="781">
        <f t="shared" si="23"/>
        <v>506.28708348749888</v>
      </c>
      <c r="CC19" s="782">
        <f t="shared" si="24"/>
        <v>1</v>
      </c>
      <c r="CD19" s="783">
        <f t="shared" si="24"/>
        <v>506.28708348749888</v>
      </c>
      <c r="CE19" s="782">
        <f t="shared" si="25"/>
        <v>54.387107338671711</v>
      </c>
      <c r="CF19" s="782">
        <f t="shared" si="26"/>
        <v>54.387107338671711</v>
      </c>
    </row>
    <row r="20" spans="2:84" ht="24.6" thickBot="1">
      <c r="B20" s="60"/>
      <c r="C20" s="218"/>
      <c r="D20" s="219"/>
      <c r="E20" s="52"/>
      <c r="F20" s="68"/>
      <c r="G20" s="229"/>
      <c r="H20" s="52"/>
      <c r="I20" s="52"/>
      <c r="J20" s="52"/>
      <c r="K20" s="52"/>
      <c r="L20" s="59"/>
      <c r="M20" s="1941"/>
      <c r="N20" s="1958"/>
      <c r="O20" s="234"/>
      <c r="P20" s="1941" t="s">
        <v>510</v>
      </c>
      <c r="Q20" s="1942">
        <f>'P2P CF if Unit not available'!O19/100</f>
        <v>0.26111499999999999</v>
      </c>
      <c r="R20" s="235">
        <f>'P2P CF if Unit not available'!P19</f>
        <v>6.4034000000000004</v>
      </c>
      <c r="S20" s="1963"/>
      <c r="T20" s="210" t="s">
        <v>509</v>
      </c>
      <c r="U20" s="715">
        <f>'P2P CF if Unit not available'!AH32</f>
        <v>0</v>
      </c>
      <c r="V20" s="1782"/>
      <c r="W20" s="1782"/>
      <c r="X20" s="1782"/>
      <c r="Y20" s="1789" t="s">
        <v>494</v>
      </c>
      <c r="Z20" s="1789"/>
      <c r="AA20" s="734" t="s">
        <v>509</v>
      </c>
      <c r="AB20" s="723">
        <f>C$16*F$17*N$17*Q20*U20</f>
        <v>0</v>
      </c>
      <c r="AC20" s="874">
        <f>100*AB20*SQRT(IF($C$16&gt;0,($D$16/$C$16/100)^2,0)+IF($F$17&gt;0,($G$17/$F$17/100)^2,0)+IF($N$17&gt;0,($O$17/$N$17/100)^2,0)+IF(Q20&gt;0,(R20/Q20/100)^2,0))</f>
        <v>0</v>
      </c>
      <c r="AD20" s="130">
        <f t="shared" si="0"/>
        <v>958.28708348749888</v>
      </c>
      <c r="AE20" s="870">
        <f t="shared" si="1"/>
        <v>69.951619189853531</v>
      </c>
      <c r="AF20" s="122">
        <v>1</v>
      </c>
      <c r="AG20" s="860">
        <v>0</v>
      </c>
      <c r="AH20" s="126">
        <f t="shared" si="2"/>
        <v>958.28708348749888</v>
      </c>
      <c r="AI20" s="864">
        <f t="shared" si="4"/>
        <v>69.951619189853531</v>
      </c>
      <c r="AJ20" s="126">
        <f>$AB$6</f>
        <v>737</v>
      </c>
      <c r="AK20" s="864"/>
      <c r="AL20" s="121">
        <v>1</v>
      </c>
      <c r="AM20" s="860">
        <v>0</v>
      </c>
      <c r="AN20" s="126">
        <f t="shared" si="5"/>
        <v>737</v>
      </c>
      <c r="AO20" s="341">
        <f t="shared" si="6"/>
        <v>0</v>
      </c>
      <c r="AP20" s="849">
        <f t="shared" si="7"/>
        <v>221.28708348749888</v>
      </c>
      <c r="AQ20" s="890">
        <f t="shared" si="8"/>
        <v>69.951619189853531</v>
      </c>
      <c r="AR20" s="149">
        <v>1</v>
      </c>
      <c r="AS20" s="144">
        <f t="shared" si="9"/>
        <v>221.28708348749888</v>
      </c>
      <c r="AT20" s="890">
        <f t="shared" si="10"/>
        <v>69.951619189853531</v>
      </c>
      <c r="AU20" s="849">
        <f t="shared" si="11"/>
        <v>0</v>
      </c>
      <c r="AV20" s="890">
        <f t="shared" si="12"/>
        <v>0</v>
      </c>
      <c r="AW20" s="849">
        <f t="shared" si="3"/>
        <v>0</v>
      </c>
      <c r="AX20" s="890">
        <f t="shared" si="13"/>
        <v>0</v>
      </c>
      <c r="AY20" s="854">
        <f t="shared" si="28"/>
        <v>0</v>
      </c>
      <c r="AZ20" s="895">
        <f t="shared" si="27"/>
        <v>0</v>
      </c>
      <c r="BE20" s="1583"/>
      <c r="BF20" s="1593"/>
      <c r="BG20" s="1593"/>
      <c r="BH20" s="1605" t="s">
        <v>494</v>
      </c>
      <c r="BI20" s="1605"/>
      <c r="BJ20" s="774" t="s">
        <v>509</v>
      </c>
      <c r="BK20" s="765">
        <f t="shared" si="14"/>
        <v>0</v>
      </c>
      <c r="BL20" s="766">
        <f t="shared" si="15"/>
        <v>958.28708348749888</v>
      </c>
      <c r="BM20" s="767">
        <f t="shared" si="16"/>
        <v>1</v>
      </c>
      <c r="BN20" s="766">
        <f t="shared" si="17"/>
        <v>958.28708348749888</v>
      </c>
      <c r="BO20" s="766">
        <f t="shared" si="18"/>
        <v>737</v>
      </c>
      <c r="BP20" s="766">
        <f t="shared" si="19"/>
        <v>1</v>
      </c>
      <c r="BQ20" s="766">
        <f t="shared" si="20"/>
        <v>737</v>
      </c>
      <c r="BR20" s="766">
        <f t="shared" si="21"/>
        <v>221.28708348749888</v>
      </c>
      <c r="BS20" s="643"/>
      <c r="BU20" s="1583"/>
      <c r="BV20" s="1593"/>
      <c r="BW20" s="1593"/>
      <c r="BX20" s="1605" t="s">
        <v>494</v>
      </c>
      <c r="BY20" s="1605"/>
      <c r="BZ20" s="774" t="s">
        <v>509</v>
      </c>
      <c r="CA20" s="765">
        <f t="shared" si="22"/>
        <v>0</v>
      </c>
      <c r="CB20" s="781">
        <f t="shared" si="23"/>
        <v>221.28708348749888</v>
      </c>
      <c r="CC20" s="782">
        <f t="shared" si="24"/>
        <v>1</v>
      </c>
      <c r="CD20" s="783">
        <f t="shared" si="24"/>
        <v>221.28708348749888</v>
      </c>
      <c r="CE20" s="782">
        <f t="shared" si="25"/>
        <v>0</v>
      </c>
      <c r="CF20" s="782">
        <f t="shared" si="26"/>
        <v>0</v>
      </c>
    </row>
    <row r="21" spans="2:84" s="643" customFormat="1" ht="24.6" thickBot="1">
      <c r="B21" s="60"/>
      <c r="C21" s="218"/>
      <c r="D21" s="219"/>
      <c r="E21" s="52"/>
      <c r="F21" s="68"/>
      <c r="G21" s="229"/>
      <c r="H21" s="52"/>
      <c r="I21" s="52"/>
      <c r="J21" s="52"/>
      <c r="K21" s="52"/>
      <c r="L21" s="59"/>
      <c r="M21" s="1941"/>
      <c r="N21" s="1958"/>
      <c r="O21" s="232"/>
      <c r="P21" s="1960"/>
      <c r="Q21" s="1961"/>
      <c r="R21" s="712"/>
      <c r="S21" s="1964"/>
      <c r="T21" s="209" t="s">
        <v>508</v>
      </c>
      <c r="U21" s="716">
        <f>'P2P CF if Unit not available'!AH31</f>
        <v>0</v>
      </c>
      <c r="V21" s="1782"/>
      <c r="W21" s="1782"/>
      <c r="X21" s="1782"/>
      <c r="Y21" s="1789"/>
      <c r="Z21" s="1789"/>
      <c r="AA21" s="734" t="s">
        <v>511</v>
      </c>
      <c r="AB21" s="723">
        <f>C$16*F$17*N$17*Q20*U21</f>
        <v>0</v>
      </c>
      <c r="AC21" s="874"/>
      <c r="AD21" s="130">
        <f t="shared" si="0"/>
        <v>958.28708348749888</v>
      </c>
      <c r="AE21" s="870">
        <f t="shared" si="1"/>
        <v>69.951619189853531</v>
      </c>
      <c r="AF21" s="122">
        <f>'Part KIU-KU'!O$25</f>
        <v>0.96779020000000004</v>
      </c>
      <c r="AG21" s="860">
        <v>0</v>
      </c>
      <c r="AH21" s="126">
        <f t="shared" ref="AH21" si="30">AD21*AF21</f>
        <v>927.42084818578326</v>
      </c>
      <c r="AI21" s="864">
        <f t="shared" ref="AI21" si="31">AH21*SQRT(IF(AD21&gt;0,(AE21/AD21)^2,0)+IF(AF21&gt;0,(AG21/AF21/100)^2,0))</f>
        <v>67.698491526072189</v>
      </c>
      <c r="AJ21" s="126">
        <v>0</v>
      </c>
      <c r="AK21" s="864"/>
      <c r="AL21" s="121">
        <f>'Part KIU-KU'!O$25</f>
        <v>0.96779020000000004</v>
      </c>
      <c r="AM21" s="860">
        <v>0</v>
      </c>
      <c r="AN21" s="126">
        <f t="shared" ref="AN21" si="32">AL21*AJ21</f>
        <v>0</v>
      </c>
      <c r="AO21" s="341">
        <f t="shared" ref="AO21" si="33">AN21*SQRT(IF(AJ21&gt;0,(AK21/AJ21)^2,0)+IF(AL21&gt;0,(AM21/AL21/100)^2,0))</f>
        <v>0</v>
      </c>
      <c r="AP21" s="849">
        <f t="shared" ref="AP21" si="34">AH21-AN21</f>
        <v>927.42084818578326</v>
      </c>
      <c r="AQ21" s="890">
        <f t="shared" ref="AQ21" si="35">SQRT(AO21^2+AI21^2)</f>
        <v>67.698491526072189</v>
      </c>
      <c r="AR21" s="149">
        <v>1</v>
      </c>
      <c r="AS21" s="144">
        <f t="shared" ref="AS21" si="36">AP21*AR21</f>
        <v>927.42084818578326</v>
      </c>
      <c r="AT21" s="890">
        <f t="shared" ref="AT21" si="37">AQ21</f>
        <v>67.698491526072189</v>
      </c>
      <c r="AU21" s="849">
        <f t="shared" ref="AU21" si="38">AP21*AB21</f>
        <v>0</v>
      </c>
      <c r="AV21" s="890">
        <f t="shared" ref="AV21" si="39">AU21*SQRT(IF(AB21&gt;0,(AC21/AB21/100)^2,0)+IF(AP21&gt;0,(AQ21/AP21),0))</f>
        <v>0</v>
      </c>
      <c r="AW21" s="849">
        <f t="shared" ref="AW21" si="40">AS21*AB21</f>
        <v>0</v>
      </c>
      <c r="AX21" s="890">
        <f t="shared" ref="AX21" si="41">AW21*SQRT(IF(AS21&gt;0,(AT21/AS21)^2,0)+IF(AB21&gt;0,(AC21/AB21/100)^2,0))</f>
        <v>0</v>
      </c>
      <c r="AY21" s="854">
        <f t="shared" ref="AY21" si="42">IF(AU21&gt;0,AW21/AU21,0)</f>
        <v>0</v>
      </c>
      <c r="AZ21" s="895">
        <f t="shared" ref="AZ21" si="43">AY21*SQRT(IF(AU21&gt;0,(AV21/AU21)^2,0)+IF(AW21&gt;0,(AX21/AW21)^2,0))</f>
        <v>0</v>
      </c>
      <c r="BE21" s="1583"/>
      <c r="BF21" s="1593"/>
      <c r="BG21" s="1594"/>
      <c r="BH21" s="1605"/>
      <c r="BI21" s="1605"/>
      <c r="BJ21" s="774" t="s">
        <v>511</v>
      </c>
      <c r="BK21" s="765">
        <f t="shared" si="14"/>
        <v>0</v>
      </c>
      <c r="BL21" s="766">
        <f t="shared" si="15"/>
        <v>958.28708348749888</v>
      </c>
      <c r="BM21" s="767">
        <f t="shared" si="16"/>
        <v>0.96779020000000004</v>
      </c>
      <c r="BN21" s="766">
        <f t="shared" si="17"/>
        <v>927.42084818578326</v>
      </c>
      <c r="BO21" s="766">
        <f t="shared" si="18"/>
        <v>0</v>
      </c>
      <c r="BP21" s="766">
        <f t="shared" si="19"/>
        <v>0.96779020000000004</v>
      </c>
      <c r="BQ21" s="766">
        <f t="shared" si="20"/>
        <v>0</v>
      </c>
      <c r="BR21" s="766">
        <f t="shared" si="21"/>
        <v>927.42084818578326</v>
      </c>
      <c r="BU21" s="1583"/>
      <c r="BV21" s="1593"/>
      <c r="BW21" s="1594"/>
      <c r="BX21" s="1605"/>
      <c r="BY21" s="1605"/>
      <c r="BZ21" s="774" t="s">
        <v>511</v>
      </c>
      <c r="CA21" s="765">
        <f t="shared" si="22"/>
        <v>0</v>
      </c>
      <c r="CB21" s="781">
        <f t="shared" si="23"/>
        <v>927.42084818578326</v>
      </c>
      <c r="CC21" s="782">
        <f t="shared" si="24"/>
        <v>1</v>
      </c>
      <c r="CD21" s="783">
        <f t="shared" si="24"/>
        <v>927.42084818578326</v>
      </c>
      <c r="CE21" s="782">
        <f t="shared" si="25"/>
        <v>0</v>
      </c>
      <c r="CF21" s="782">
        <f t="shared" si="26"/>
        <v>0</v>
      </c>
    </row>
    <row r="22" spans="2:84" ht="15" thickBot="1">
      <c r="B22" s="60"/>
      <c r="C22" s="218"/>
      <c r="D22" s="219"/>
      <c r="E22" s="52"/>
      <c r="F22" s="69"/>
      <c r="G22" s="229"/>
      <c r="H22" s="52"/>
      <c r="I22" s="52"/>
      <c r="J22" s="52"/>
      <c r="K22" s="52"/>
      <c r="L22" s="59"/>
      <c r="M22" s="214" t="s">
        <v>60</v>
      </c>
      <c r="N22" s="211">
        <f>'P2P CF if Unit not available'!O86/100</f>
        <v>0.17445099999999999</v>
      </c>
      <c r="O22" s="236">
        <f>'P2P CF if Unit not available'!P86</f>
        <v>3.2603</v>
      </c>
      <c r="P22" s="48" t="s">
        <v>72</v>
      </c>
      <c r="Q22" s="74">
        <f>'P2P CF if Unit not available'!O50/100</f>
        <v>7.7991000000000005E-2</v>
      </c>
      <c r="R22" s="237">
        <f>'P2P CF if Unit not available'!P50</f>
        <v>7.8472999999999997</v>
      </c>
      <c r="S22" s="213" t="s">
        <v>67</v>
      </c>
      <c r="T22" s="213"/>
      <c r="U22" s="213"/>
      <c r="V22" s="1782"/>
      <c r="W22" s="1782"/>
      <c r="X22" s="1786" t="s">
        <v>343</v>
      </c>
      <c r="Y22" s="1787" t="s">
        <v>344</v>
      </c>
      <c r="Z22" s="1787"/>
      <c r="AA22" s="1787"/>
      <c r="AB22" s="724">
        <f>C$16*F$17*N$22*Q22</f>
        <v>3.5473016961546575E-3</v>
      </c>
      <c r="AC22" s="875">
        <f>100*AB22*SQRT(IF($C$16&gt;0,($D$16/$C$16/100)^2,0)+IF($F$17&gt;0,($G$17/$F$17/100)^2,0)+IF($N$22&gt;0,($O$22/$N$22/100)^2,0)+IF(Q22&gt;0,(R22/Q22/100)^2,0))</f>
        <v>0.36611164999204648</v>
      </c>
      <c r="AD22" s="128">
        <f t="shared" si="0"/>
        <v>958.28708348749888</v>
      </c>
      <c r="AE22" s="868">
        <f t="shared" si="1"/>
        <v>69.951619189853531</v>
      </c>
      <c r="AF22" s="120">
        <f>'Part KIU-KU'!O$25</f>
        <v>0.96779020000000004</v>
      </c>
      <c r="AG22" s="858">
        <f>'Part KIU-KU'!Q$25</f>
        <v>1.12687E-2</v>
      </c>
      <c r="AH22" s="124">
        <f t="shared" si="2"/>
        <v>927.42084818578326</v>
      </c>
      <c r="AI22" s="862">
        <f t="shared" si="4"/>
        <v>67.698577651152391</v>
      </c>
      <c r="AJ22" s="131">
        <f>$AB$6</f>
        <v>737</v>
      </c>
      <c r="AK22" s="865">
        <f>$AC$6</f>
        <v>105</v>
      </c>
      <c r="AL22" s="120">
        <f>'Part KIU-KU'!O$25</f>
        <v>0.96779020000000004</v>
      </c>
      <c r="AM22" s="858">
        <f>'Part KIU-KU'!J$25</f>
        <v>3.5229200000000002E-2</v>
      </c>
      <c r="AN22" s="124">
        <f t="shared" si="5"/>
        <v>713.26137740000001</v>
      </c>
      <c r="AO22" s="339">
        <f t="shared" si="6"/>
        <v>101.61830269529744</v>
      </c>
      <c r="AP22" s="847">
        <f t="shared" si="7"/>
        <v>214.15947078578324</v>
      </c>
      <c r="AQ22" s="886">
        <f t="shared" si="8"/>
        <v>122.10395922598991</v>
      </c>
      <c r="AR22" s="141">
        <v>1</v>
      </c>
      <c r="AS22" s="140">
        <f t="shared" si="9"/>
        <v>214.15947078578324</v>
      </c>
      <c r="AT22" s="886">
        <f t="shared" si="10"/>
        <v>122.10395922598991</v>
      </c>
      <c r="AU22" s="847">
        <f t="shared" si="11"/>
        <v>0.75968825396599271</v>
      </c>
      <c r="AV22" s="886">
        <f t="shared" si="12"/>
        <v>0.97149651730095676</v>
      </c>
      <c r="AW22" s="847">
        <f t="shared" si="3"/>
        <v>0.75968825396599271</v>
      </c>
      <c r="AX22" s="886">
        <f t="shared" si="13"/>
        <v>0.89574791532811293</v>
      </c>
      <c r="AY22" s="852">
        <f t="shared" si="28"/>
        <v>1</v>
      </c>
      <c r="AZ22" s="892">
        <f t="shared" si="27"/>
        <v>1.7394334850548248</v>
      </c>
      <c r="BE22" s="1583"/>
      <c r="BF22" s="1593"/>
      <c r="BG22" s="1592" t="s">
        <v>343</v>
      </c>
      <c r="BH22" s="1575" t="s">
        <v>344</v>
      </c>
      <c r="BI22" s="1575"/>
      <c r="BJ22" s="1575"/>
      <c r="BK22" s="765">
        <f t="shared" si="14"/>
        <v>3.5473016961546575E-3</v>
      </c>
      <c r="BL22" s="766">
        <f t="shared" si="15"/>
        <v>958.28708348749888</v>
      </c>
      <c r="BM22" s="767">
        <f t="shared" si="16"/>
        <v>0.96779020000000004</v>
      </c>
      <c r="BN22" s="766">
        <f t="shared" si="17"/>
        <v>927.42084818578326</v>
      </c>
      <c r="BO22" s="766">
        <f t="shared" si="18"/>
        <v>737</v>
      </c>
      <c r="BP22" s="766">
        <f t="shared" si="19"/>
        <v>0.96779020000000004</v>
      </c>
      <c r="BQ22" s="766">
        <f t="shared" si="20"/>
        <v>713.26137740000001</v>
      </c>
      <c r="BR22" s="766">
        <f t="shared" si="21"/>
        <v>214.15947078578324</v>
      </c>
      <c r="BS22" s="643"/>
      <c r="BU22" s="1583"/>
      <c r="BV22" s="1593"/>
      <c r="BW22" s="1592" t="s">
        <v>343</v>
      </c>
      <c r="BX22" s="1575" t="s">
        <v>344</v>
      </c>
      <c r="BY22" s="1575"/>
      <c r="BZ22" s="1575"/>
      <c r="CA22" s="765">
        <f t="shared" si="22"/>
        <v>3.5473016961546575E-3</v>
      </c>
      <c r="CB22" s="781">
        <f t="shared" si="23"/>
        <v>214.15947078578324</v>
      </c>
      <c r="CC22" s="782">
        <f t="shared" si="24"/>
        <v>1</v>
      </c>
      <c r="CD22" s="783">
        <f t="shared" si="24"/>
        <v>214.15947078578324</v>
      </c>
      <c r="CE22" s="782">
        <f t="shared" si="25"/>
        <v>0.75968825396599271</v>
      </c>
      <c r="CF22" s="782">
        <f t="shared" si="26"/>
        <v>0.75968825396599271</v>
      </c>
    </row>
    <row r="23" spans="2:84" ht="15" thickBot="1">
      <c r="B23" s="60"/>
      <c r="C23" s="218"/>
      <c r="D23" s="219"/>
      <c r="E23" s="52"/>
      <c r="F23" s="69"/>
      <c r="G23" s="229"/>
      <c r="H23" s="52"/>
      <c r="I23" s="52"/>
      <c r="J23" s="52"/>
      <c r="K23" s="52"/>
      <c r="L23" s="59"/>
      <c r="M23" s="214"/>
      <c r="N23" s="211"/>
      <c r="O23" s="238"/>
      <c r="P23" s="48" t="s">
        <v>73</v>
      </c>
      <c r="Q23" s="74">
        <f>'P2P CF if Unit not available'!O51/100</f>
        <v>7.7991000000000005E-2</v>
      </c>
      <c r="R23" s="237">
        <f>'P2P CF if Unit not available'!P51</f>
        <v>7.8472999999999997</v>
      </c>
      <c r="S23" s="214"/>
      <c r="T23" s="214"/>
      <c r="U23" s="214"/>
      <c r="V23" s="1782"/>
      <c r="W23" s="1782"/>
      <c r="X23" s="1786"/>
      <c r="Y23" s="1787" t="s">
        <v>345</v>
      </c>
      <c r="Z23" s="1787"/>
      <c r="AA23" s="1787"/>
      <c r="AB23" s="725">
        <f t="shared" ref="AB23:AB25" si="44">C$16*F$17*N$22*Q23</f>
        <v>3.5473016961546575E-3</v>
      </c>
      <c r="AC23" s="876">
        <f>100*AB23*SQRT(IF($C$16&gt;0,($D$16/$C$16/100)^2,0)+IF($F$17&gt;0,($G$17/$F$17/100)^2,0)+IF($N$22&gt;0,($O$22/$N$22/100)^2,0)+IF(Q23&gt;0,(R23/Q23/100)^2,0))</f>
        <v>0.36611164999204648</v>
      </c>
      <c r="AD23" s="129">
        <f t="shared" si="0"/>
        <v>958.28708348749888</v>
      </c>
      <c r="AE23" s="869">
        <f t="shared" si="1"/>
        <v>69.951619189853531</v>
      </c>
      <c r="AF23" s="119">
        <f>'Part KIU-KU'!O$25</f>
        <v>0.96779020000000004</v>
      </c>
      <c r="AG23" s="859">
        <f>'Part KIU-KU'!Q$25</f>
        <v>1.12687E-2</v>
      </c>
      <c r="AH23" s="125">
        <f t="shared" si="2"/>
        <v>927.42084818578326</v>
      </c>
      <c r="AI23" s="863">
        <f t="shared" si="4"/>
        <v>67.698577651152391</v>
      </c>
      <c r="AJ23" s="125">
        <f>$AB$7</f>
        <v>635</v>
      </c>
      <c r="AK23" s="863">
        <f>$AC$7</f>
        <v>84</v>
      </c>
      <c r="AL23" s="119">
        <f>'Part KIU-KU'!O$25</f>
        <v>0.96779020000000004</v>
      </c>
      <c r="AM23" s="859">
        <f>'Part KIU-KU'!J$25</f>
        <v>3.5229200000000002E-2</v>
      </c>
      <c r="AN23" s="125">
        <f t="shared" si="5"/>
        <v>614.54677700000002</v>
      </c>
      <c r="AO23" s="340">
        <f t="shared" si="6"/>
        <v>81.294684595090942</v>
      </c>
      <c r="AP23" s="850">
        <f t="shared" si="7"/>
        <v>312.87407118578324</v>
      </c>
      <c r="AQ23" s="889">
        <f t="shared" si="8"/>
        <v>105.79188607546624</v>
      </c>
      <c r="AR23" s="148">
        <v>1</v>
      </c>
      <c r="AS23" s="147">
        <f t="shared" si="9"/>
        <v>312.87407118578324</v>
      </c>
      <c r="AT23" s="889">
        <f t="shared" si="10"/>
        <v>105.79188607546624</v>
      </c>
      <c r="AU23" s="850">
        <f t="shared" si="11"/>
        <v>1.109858723400142</v>
      </c>
      <c r="AV23" s="889">
        <f t="shared" si="12"/>
        <v>1.3147627016418166</v>
      </c>
      <c r="AW23" s="850">
        <f t="shared" si="3"/>
        <v>1.109858723400142</v>
      </c>
      <c r="AX23" s="889">
        <f t="shared" si="13"/>
        <v>1.2053753730892673</v>
      </c>
      <c r="AY23" s="853">
        <f t="shared" si="28"/>
        <v>1</v>
      </c>
      <c r="AZ23" s="894">
        <f t="shared" si="27"/>
        <v>1.6071276120331284</v>
      </c>
      <c r="BE23" s="1583"/>
      <c r="BF23" s="1593"/>
      <c r="BG23" s="1593"/>
      <c r="BH23" s="1575" t="s">
        <v>345</v>
      </c>
      <c r="BI23" s="1575"/>
      <c r="BJ23" s="1575"/>
      <c r="BK23" s="765">
        <f t="shared" si="14"/>
        <v>3.5473016961546575E-3</v>
      </c>
      <c r="BL23" s="766">
        <f t="shared" si="15"/>
        <v>958.28708348749888</v>
      </c>
      <c r="BM23" s="767">
        <f t="shared" si="16"/>
        <v>0.96779020000000004</v>
      </c>
      <c r="BN23" s="766">
        <f t="shared" si="17"/>
        <v>927.42084818578326</v>
      </c>
      <c r="BO23" s="766">
        <f t="shared" si="18"/>
        <v>635</v>
      </c>
      <c r="BP23" s="766">
        <f t="shared" si="19"/>
        <v>0.96779020000000004</v>
      </c>
      <c r="BQ23" s="766">
        <f t="shared" si="20"/>
        <v>614.54677700000002</v>
      </c>
      <c r="BR23" s="766">
        <f t="shared" si="21"/>
        <v>312.87407118578324</v>
      </c>
      <c r="BS23" s="643"/>
      <c r="BU23" s="1583"/>
      <c r="BV23" s="1593"/>
      <c r="BW23" s="1593"/>
      <c r="BX23" s="1575" t="s">
        <v>345</v>
      </c>
      <c r="BY23" s="1575"/>
      <c r="BZ23" s="1575"/>
      <c r="CA23" s="765">
        <f t="shared" si="22"/>
        <v>3.5473016961546575E-3</v>
      </c>
      <c r="CB23" s="781">
        <f t="shared" si="23"/>
        <v>312.87407118578324</v>
      </c>
      <c r="CC23" s="782">
        <f t="shared" si="24"/>
        <v>1</v>
      </c>
      <c r="CD23" s="783">
        <f t="shared" si="24"/>
        <v>312.87407118578324</v>
      </c>
      <c r="CE23" s="782">
        <f t="shared" si="25"/>
        <v>1.109858723400142</v>
      </c>
      <c r="CF23" s="782">
        <f t="shared" si="26"/>
        <v>1.109858723400142</v>
      </c>
    </row>
    <row r="24" spans="2:84" ht="15" thickBot="1">
      <c r="B24" s="60"/>
      <c r="C24" s="218"/>
      <c r="D24" s="219"/>
      <c r="E24" s="52"/>
      <c r="F24" s="69"/>
      <c r="G24" s="229"/>
      <c r="H24" s="52"/>
      <c r="I24" s="52"/>
      <c r="J24" s="52"/>
      <c r="K24" s="52"/>
      <c r="L24" s="59"/>
      <c r="M24" s="214"/>
      <c r="N24" s="211"/>
      <c r="O24" s="238"/>
      <c r="P24" s="48" t="s">
        <v>74</v>
      </c>
      <c r="Q24" s="74">
        <f>'P2P CF if Unit not available'!O52/100</f>
        <v>0.15598100000000001</v>
      </c>
      <c r="R24" s="237">
        <f>'P2P CF if Unit not available'!P52</f>
        <v>10.658799999999999</v>
      </c>
      <c r="S24" s="214"/>
      <c r="T24" s="214"/>
      <c r="U24" s="214"/>
      <c r="V24" s="1782"/>
      <c r="W24" s="1782"/>
      <c r="X24" s="1786"/>
      <c r="Y24" s="1787" t="s">
        <v>346</v>
      </c>
      <c r="Z24" s="1787"/>
      <c r="AA24" s="1787"/>
      <c r="AB24" s="725">
        <f t="shared" si="44"/>
        <v>7.0945579088343485E-3</v>
      </c>
      <c r="AC24" s="876">
        <f>100*AB24*SQRT(IF($C$16&gt;0,($D$16/$C$16/100)^2,0)+IF($F$17&gt;0,($G$17/$F$17/100)^2,0)+IF($N$22&gt;0,($O$22/$N$22/100)^2,0)+IF(Q24&gt;0,(R24/Q24/100)^2,0))</f>
        <v>0.5114746703630243</v>
      </c>
      <c r="AD24" s="129">
        <f t="shared" si="0"/>
        <v>958.28708348749888</v>
      </c>
      <c r="AE24" s="869">
        <f t="shared" si="1"/>
        <v>69.951619189853531</v>
      </c>
      <c r="AF24" s="119">
        <f>'Part KIU-KU'!O$25</f>
        <v>0.96779020000000004</v>
      </c>
      <c r="AG24" s="859">
        <f>'Part KIU-KU'!Q$25</f>
        <v>1.12687E-2</v>
      </c>
      <c r="AH24" s="125">
        <f t="shared" si="2"/>
        <v>927.42084818578326</v>
      </c>
      <c r="AI24" s="863">
        <f t="shared" si="4"/>
        <v>67.698577651152391</v>
      </c>
      <c r="AJ24" s="422">
        <f>AB8</f>
        <v>452</v>
      </c>
      <c r="AK24" s="866"/>
      <c r="AL24" s="119">
        <f>'Part KIU-KU'!O$25</f>
        <v>0.96779020000000004</v>
      </c>
      <c r="AM24" s="859">
        <f>'Part KIU-KU'!J$25</f>
        <v>3.5229200000000002E-2</v>
      </c>
      <c r="AN24" s="125">
        <f t="shared" si="5"/>
        <v>437.44117040000003</v>
      </c>
      <c r="AO24" s="340">
        <f t="shared" si="6"/>
        <v>0.15923598400000002</v>
      </c>
      <c r="AP24" s="850">
        <f t="shared" si="7"/>
        <v>489.97967778578322</v>
      </c>
      <c r="AQ24" s="889">
        <f t="shared" si="8"/>
        <v>67.698764922912076</v>
      </c>
      <c r="AR24" s="148">
        <v>1</v>
      </c>
      <c r="AS24" s="147">
        <f t="shared" si="9"/>
        <v>489.97967778578322</v>
      </c>
      <c r="AT24" s="889">
        <f t="shared" si="10"/>
        <v>67.698764922912076</v>
      </c>
      <c r="AU24" s="850">
        <f t="shared" si="11"/>
        <v>3.476189198203234</v>
      </c>
      <c r="AV24" s="889">
        <f t="shared" si="12"/>
        <v>2.8196162608897803</v>
      </c>
      <c r="AW24" s="850">
        <f t="shared" si="3"/>
        <v>3.476189198203234</v>
      </c>
      <c r="AX24" s="889">
        <f t="shared" si="13"/>
        <v>2.5517304655251674</v>
      </c>
      <c r="AY24" s="853">
        <f t="shared" si="28"/>
        <v>1</v>
      </c>
      <c r="AZ24" s="894">
        <f t="shared" si="27"/>
        <v>1.0939670204871119</v>
      </c>
      <c r="BE24" s="1583"/>
      <c r="BF24" s="1593"/>
      <c r="BG24" s="1593"/>
      <c r="BH24" s="1575" t="s">
        <v>346</v>
      </c>
      <c r="BI24" s="1575"/>
      <c r="BJ24" s="1575"/>
      <c r="BK24" s="765">
        <f t="shared" si="14"/>
        <v>7.0945579088343485E-3</v>
      </c>
      <c r="BL24" s="766">
        <f t="shared" si="15"/>
        <v>958.28708348749888</v>
      </c>
      <c r="BM24" s="767">
        <f t="shared" si="16"/>
        <v>0.96779020000000004</v>
      </c>
      <c r="BN24" s="766">
        <f t="shared" si="17"/>
        <v>927.42084818578326</v>
      </c>
      <c r="BO24" s="766">
        <f t="shared" si="18"/>
        <v>452</v>
      </c>
      <c r="BP24" s="766">
        <f t="shared" si="19"/>
        <v>0.96779020000000004</v>
      </c>
      <c r="BQ24" s="766">
        <f t="shared" si="20"/>
        <v>437.44117040000003</v>
      </c>
      <c r="BR24" s="766">
        <f t="shared" si="21"/>
        <v>489.97967778578322</v>
      </c>
      <c r="BS24" s="643"/>
      <c r="BU24" s="1583"/>
      <c r="BV24" s="1593"/>
      <c r="BW24" s="1593"/>
      <c r="BX24" s="1575" t="s">
        <v>346</v>
      </c>
      <c r="BY24" s="1575"/>
      <c r="BZ24" s="1575"/>
      <c r="CA24" s="765">
        <f t="shared" si="22"/>
        <v>7.0945579088343485E-3</v>
      </c>
      <c r="CB24" s="781">
        <f t="shared" si="23"/>
        <v>489.97967778578322</v>
      </c>
      <c r="CC24" s="782">
        <f t="shared" si="24"/>
        <v>1</v>
      </c>
      <c r="CD24" s="783">
        <f t="shared" si="24"/>
        <v>489.97967778578322</v>
      </c>
      <c r="CE24" s="782">
        <f t="shared" si="25"/>
        <v>3.476189198203234</v>
      </c>
      <c r="CF24" s="782">
        <f t="shared" si="26"/>
        <v>3.476189198203234</v>
      </c>
    </row>
    <row r="25" spans="2:84" ht="15" thickBot="1">
      <c r="B25" s="60"/>
      <c r="C25" s="218"/>
      <c r="D25" s="219"/>
      <c r="E25" s="54"/>
      <c r="F25" s="70"/>
      <c r="G25" s="239"/>
      <c r="H25" s="54"/>
      <c r="I25" s="54"/>
      <c r="J25" s="54"/>
      <c r="K25" s="54"/>
      <c r="L25" s="58"/>
      <c r="M25" s="215"/>
      <c r="N25" s="212"/>
      <c r="O25" s="240"/>
      <c r="P25" s="49" t="s">
        <v>76</v>
      </c>
      <c r="Q25" s="75">
        <f>'P2P CF if Unit not available'!O53/100</f>
        <v>0.68803700000000001</v>
      </c>
      <c r="R25" s="241">
        <f>'P2P CF if Unit not available'!P53</f>
        <v>13.7484</v>
      </c>
      <c r="S25" s="215"/>
      <c r="T25" s="215"/>
      <c r="U25" s="215"/>
      <c r="V25" s="1782"/>
      <c r="W25" s="1782"/>
      <c r="X25" s="1786"/>
      <c r="Y25" s="1787" t="s">
        <v>347</v>
      </c>
      <c r="Z25" s="1787"/>
      <c r="AA25" s="1787"/>
      <c r="AB25" s="726">
        <f t="shared" si="44"/>
        <v>3.1294313665899423E-2</v>
      </c>
      <c r="AC25" s="877">
        <f>100*AB25*SQRT(IF($C$16&gt;0,($D$16/$C$16/100)^2,0)+IF($F$17&gt;0,($G$17/$F$17/100)^2,0)+IF($N$22&gt;0,($O$22/$N$22/100)^2,0)+IF(Q25&gt;0,(R25/Q25/100)^2,0))</f>
        <v>0.95295644142030911</v>
      </c>
      <c r="AD25" s="130">
        <f t="shared" si="0"/>
        <v>958.28708348749888</v>
      </c>
      <c r="AE25" s="870">
        <f t="shared" si="1"/>
        <v>69.951619189853531</v>
      </c>
      <c r="AF25" s="122">
        <f>'Part KIU-KU'!O$25</f>
        <v>0.96779020000000004</v>
      </c>
      <c r="AG25" s="860">
        <f>'Part KIU-KU'!Q$25</f>
        <v>1.12687E-2</v>
      </c>
      <c r="AH25" s="126">
        <f t="shared" si="2"/>
        <v>927.42084818578326</v>
      </c>
      <c r="AI25" s="864">
        <f t="shared" si="4"/>
        <v>67.698577651152391</v>
      </c>
      <c r="AJ25" s="126">
        <v>0</v>
      </c>
      <c r="AK25" s="864"/>
      <c r="AL25" s="122">
        <f>'Part KIU-KU'!O$25</f>
        <v>0.96779020000000004</v>
      </c>
      <c r="AM25" s="860">
        <f>'Part KIU-KU'!J$25</f>
        <v>3.5229200000000002E-2</v>
      </c>
      <c r="AN25" s="126">
        <f t="shared" si="5"/>
        <v>0</v>
      </c>
      <c r="AO25" s="341">
        <f t="shared" si="6"/>
        <v>0</v>
      </c>
      <c r="AP25" s="849">
        <f t="shared" si="7"/>
        <v>927.42084818578326</v>
      </c>
      <c r="AQ25" s="890">
        <f t="shared" si="8"/>
        <v>67.698577651152391</v>
      </c>
      <c r="AR25" s="149">
        <v>1</v>
      </c>
      <c r="AS25" s="144">
        <f t="shared" si="9"/>
        <v>927.42084818578326</v>
      </c>
      <c r="AT25" s="890">
        <f t="shared" si="10"/>
        <v>67.698577651152391</v>
      </c>
      <c r="AU25" s="849">
        <f t="shared" si="11"/>
        <v>29.022998923420392</v>
      </c>
      <c r="AV25" s="890">
        <f t="shared" si="12"/>
        <v>11.815089168761471</v>
      </c>
      <c r="AW25" s="849">
        <f t="shared" si="3"/>
        <v>29.022998923420392</v>
      </c>
      <c r="AX25" s="890">
        <f t="shared" si="13"/>
        <v>9.088297708669737</v>
      </c>
      <c r="AY25" s="854">
        <f t="shared" si="28"/>
        <v>1</v>
      </c>
      <c r="AZ25" s="895">
        <f t="shared" si="27"/>
        <v>0.51359806268888131</v>
      </c>
      <c r="BE25" s="1583"/>
      <c r="BF25" s="1594"/>
      <c r="BG25" s="1594"/>
      <c r="BH25" s="1575" t="s">
        <v>347</v>
      </c>
      <c r="BI25" s="1575"/>
      <c r="BJ25" s="1575"/>
      <c r="BK25" s="765">
        <f t="shared" si="14"/>
        <v>3.1294313665899423E-2</v>
      </c>
      <c r="BL25" s="766">
        <f t="shared" si="15"/>
        <v>958.28708348749888</v>
      </c>
      <c r="BM25" s="767">
        <f t="shared" si="16"/>
        <v>0.96779020000000004</v>
      </c>
      <c r="BN25" s="766">
        <f t="shared" si="17"/>
        <v>927.42084818578326</v>
      </c>
      <c r="BO25" s="766">
        <f t="shared" si="18"/>
        <v>0</v>
      </c>
      <c r="BP25" s="766">
        <f t="shared" si="19"/>
        <v>0.96779020000000004</v>
      </c>
      <c r="BQ25" s="766">
        <f t="shared" si="20"/>
        <v>0</v>
      </c>
      <c r="BR25" s="766">
        <f t="shared" si="21"/>
        <v>927.42084818578326</v>
      </c>
      <c r="BS25" s="643"/>
      <c r="BU25" s="1583"/>
      <c r="BV25" s="1594"/>
      <c r="BW25" s="1594"/>
      <c r="BX25" s="1575" t="s">
        <v>347</v>
      </c>
      <c r="BY25" s="1575"/>
      <c r="BZ25" s="1575"/>
      <c r="CA25" s="765">
        <f t="shared" si="22"/>
        <v>3.1294313665899423E-2</v>
      </c>
      <c r="CB25" s="781">
        <f t="shared" si="23"/>
        <v>927.42084818578326</v>
      </c>
      <c r="CC25" s="782">
        <f t="shared" si="24"/>
        <v>1</v>
      </c>
      <c r="CD25" s="783">
        <f t="shared" si="24"/>
        <v>927.42084818578326</v>
      </c>
      <c r="CE25" s="782">
        <f t="shared" si="25"/>
        <v>29.022998923420392</v>
      </c>
      <c r="CF25" s="782">
        <f t="shared" si="26"/>
        <v>29.022998923420392</v>
      </c>
    </row>
    <row r="26" spans="2:84" ht="15.6" thickBot="1">
      <c r="B26" s="60"/>
      <c r="C26" s="218"/>
      <c r="D26" s="219"/>
      <c r="E26" s="242" t="s">
        <v>61</v>
      </c>
      <c r="F26" s="169">
        <f>'Discarder Disposition'!Q15/100</f>
        <v>0.474555</v>
      </c>
      <c r="G26" s="243">
        <f>'Discarder Disposition'!R15</f>
        <v>4.5133000000000001</v>
      </c>
      <c r="H26" s="231" t="s">
        <v>64</v>
      </c>
      <c r="I26" s="55" t="s">
        <v>54</v>
      </c>
      <c r="J26" s="64">
        <f>SecMktProportions!D6</f>
        <v>42</v>
      </c>
      <c r="K26" s="301" t="e">
        <f>SecMktProportions!#REF!</f>
        <v>#REF!</v>
      </c>
      <c r="L26" s="61" t="s">
        <v>65</v>
      </c>
      <c r="M26" s="201" t="s">
        <v>59</v>
      </c>
      <c r="N26" s="195">
        <f>'Ret CF if Unit not available'!O82/100</f>
        <v>0.90298800000000001</v>
      </c>
      <c r="O26" s="244">
        <f>'Ret CF if Unit not available'!P82</f>
        <v>3.5979000000000001</v>
      </c>
      <c r="P26" s="93" t="s">
        <v>77</v>
      </c>
      <c r="Q26" s="94">
        <f>'Ret CF if Unit not available'!O14/100</f>
        <v>0.46087899999999998</v>
      </c>
      <c r="R26" s="245">
        <f>'Ret CF if Unit not available'!P14</f>
        <v>4.5077999999999996</v>
      </c>
      <c r="S26" s="201" t="s">
        <v>67</v>
      </c>
      <c r="T26" s="201"/>
      <c r="U26" s="201"/>
      <c r="V26" s="1782"/>
      <c r="W26" s="1748" t="s">
        <v>88</v>
      </c>
      <c r="X26" s="1748" t="s">
        <v>348</v>
      </c>
      <c r="Y26" s="1748" t="s">
        <v>342</v>
      </c>
      <c r="Z26" s="1750" t="s">
        <v>345</v>
      </c>
      <c r="AA26" s="1750"/>
      <c r="AB26" s="727">
        <f>C$16*F$26*J$26*N$26*Q26</f>
        <v>6.8252332729613769</v>
      </c>
      <c r="AC26" s="878" t="e">
        <f>100*AB26*SQRT(IF($C$16&gt;0,($D$16/$C$16/100)^2,0)+IF($F$26&gt;0,($G$26/$F$26/100)^2,0)+IF($J$26&gt;0,($K$26/$J$26/100)^2,0)+IF($N$26&gt;0,($O$26/$N$26/100)^2,0)+IF(Q26&gt;0,(R26/Q26/100)^2,0))</f>
        <v>#REF!</v>
      </c>
      <c r="AD26" s="128">
        <f t="shared" si="0"/>
        <v>958.28708348749888</v>
      </c>
      <c r="AE26" s="868">
        <f t="shared" si="1"/>
        <v>69.951619189853531</v>
      </c>
      <c r="AF26" s="120">
        <v>1</v>
      </c>
      <c r="AG26" s="858">
        <v>0</v>
      </c>
      <c r="AH26" s="124">
        <f t="shared" ref="AH26:AH35" si="45">AD26*AF26</f>
        <v>958.28708348749888</v>
      </c>
      <c r="AI26" s="862">
        <f t="shared" si="4"/>
        <v>69.951619189853531</v>
      </c>
      <c r="AJ26" s="124">
        <f>$AB$7</f>
        <v>635</v>
      </c>
      <c r="AK26" s="862">
        <f>$AC$7</f>
        <v>84</v>
      </c>
      <c r="AL26" s="521">
        <v>1</v>
      </c>
      <c r="AM26" s="858">
        <v>0</v>
      </c>
      <c r="AN26" s="124">
        <f t="shared" si="5"/>
        <v>635</v>
      </c>
      <c r="AO26" s="339">
        <f t="shared" si="6"/>
        <v>84</v>
      </c>
      <c r="AP26" s="847">
        <f t="shared" si="7"/>
        <v>323.28708348749888</v>
      </c>
      <c r="AQ26" s="886">
        <f t="shared" si="8"/>
        <v>109.31252914136735</v>
      </c>
      <c r="AR26" s="141">
        <v>1</v>
      </c>
      <c r="AS26" s="140">
        <f t="shared" si="9"/>
        <v>323.28708348749888</v>
      </c>
      <c r="AT26" s="886">
        <f t="shared" si="10"/>
        <v>109.31252914136735</v>
      </c>
      <c r="AU26" s="847">
        <f t="shared" si="11"/>
        <v>2206.50975893752</v>
      </c>
      <c r="AV26" s="886" t="e">
        <f t="shared" si="12"/>
        <v>#REF!</v>
      </c>
      <c r="AW26" s="847">
        <f t="shared" si="3"/>
        <v>2206.50975893752</v>
      </c>
      <c r="AX26" s="886" t="e">
        <f t="shared" si="13"/>
        <v>#REF!</v>
      </c>
      <c r="AY26" s="852">
        <f t="shared" si="28"/>
        <v>1</v>
      </c>
      <c r="AZ26" s="892" t="e">
        <f t="shared" si="27"/>
        <v>#REF!</v>
      </c>
      <c r="BE26" s="1583"/>
      <c r="BF26" s="1592" t="s">
        <v>88</v>
      </c>
      <c r="BG26" s="1583" t="s">
        <v>348</v>
      </c>
      <c r="BH26" s="1592" t="s">
        <v>342</v>
      </c>
      <c r="BI26" s="1584" t="s">
        <v>345</v>
      </c>
      <c r="BJ26" s="1586"/>
      <c r="BK26" s="765">
        <f t="shared" si="14"/>
        <v>6.8252332729613769</v>
      </c>
      <c r="BL26" s="766">
        <f t="shared" si="15"/>
        <v>958.28708348749888</v>
      </c>
      <c r="BM26" s="767">
        <f t="shared" si="16"/>
        <v>1</v>
      </c>
      <c r="BN26" s="766">
        <f t="shared" si="17"/>
        <v>958.28708348749888</v>
      </c>
      <c r="BO26" s="766">
        <f t="shared" si="18"/>
        <v>635</v>
      </c>
      <c r="BP26" s="766">
        <f t="shared" si="19"/>
        <v>1</v>
      </c>
      <c r="BQ26" s="766">
        <f t="shared" si="20"/>
        <v>635</v>
      </c>
      <c r="BR26" s="766">
        <f t="shared" si="21"/>
        <v>323.28708348749888</v>
      </c>
      <c r="BS26" s="643"/>
      <c r="BU26" s="1583"/>
      <c r="BV26" s="1592" t="s">
        <v>88</v>
      </c>
      <c r="BW26" s="1583" t="s">
        <v>348</v>
      </c>
      <c r="BX26" s="1592" t="s">
        <v>342</v>
      </c>
      <c r="BY26" s="1584" t="s">
        <v>345</v>
      </c>
      <c r="BZ26" s="1586"/>
      <c r="CA26" s="765">
        <f t="shared" si="22"/>
        <v>6.8252332729613769</v>
      </c>
      <c r="CB26" s="781">
        <f t="shared" si="23"/>
        <v>323.28708348749888</v>
      </c>
      <c r="CC26" s="782">
        <f t="shared" si="24"/>
        <v>1</v>
      </c>
      <c r="CD26" s="783">
        <f t="shared" si="24"/>
        <v>323.28708348749888</v>
      </c>
      <c r="CE26" s="782">
        <f t="shared" si="25"/>
        <v>2206.50975893752</v>
      </c>
      <c r="CF26" s="782">
        <f t="shared" si="26"/>
        <v>2206.50975893752</v>
      </c>
    </row>
    <row r="27" spans="2:84" ht="15" thickBot="1">
      <c r="B27" s="60"/>
      <c r="C27" s="218"/>
      <c r="D27" s="219"/>
      <c r="E27" s="51"/>
      <c r="F27" s="52"/>
      <c r="G27" s="52"/>
      <c r="H27" s="59"/>
      <c r="I27" s="56"/>
      <c r="J27" s="65"/>
      <c r="K27" s="302"/>
      <c r="L27" s="62"/>
      <c r="M27" s="202"/>
      <c r="N27" s="196"/>
      <c r="O27" s="246"/>
      <c r="P27" s="95" t="s">
        <v>74</v>
      </c>
      <c r="Q27" s="96">
        <f>'Ret CF if Unit not available'!O15/100</f>
        <v>0.32020799999999999</v>
      </c>
      <c r="R27" s="247">
        <f>'Ret CF if Unit not available'!P15</f>
        <v>4.2358000000000002</v>
      </c>
      <c r="S27" s="202"/>
      <c r="T27" s="202"/>
      <c r="U27" s="202"/>
      <c r="V27" s="1782"/>
      <c r="W27" s="1748"/>
      <c r="X27" s="1748"/>
      <c r="Y27" s="1748"/>
      <c r="Z27" s="1747" t="s">
        <v>346</v>
      </c>
      <c r="AA27" s="1747"/>
      <c r="AB27" s="728">
        <f t="shared" ref="AB27" si="46">C$16*F$26*J$26*N$26*Q27</f>
        <v>4.7420131875577241</v>
      </c>
      <c r="AC27" s="879" t="e">
        <f>100*AB27*SQRT(IF($C$16&gt;0,($D$16/$C$16/100)^2,0)+IF($F$26&gt;0,($G$26/$F$26/100)^2,0)+IF($J$26&gt;0,($K$26/$J$26/100)^2,0)+IF($N$26&gt;0,($O$26/$N$26/100)^2,0)+IF(Q27&gt;0,(R27/Q27/100)^2,0))</f>
        <v>#REF!</v>
      </c>
      <c r="AD27" s="129">
        <f t="shared" si="0"/>
        <v>958.28708348749888</v>
      </c>
      <c r="AE27" s="869">
        <f t="shared" si="1"/>
        <v>69.951619189853531</v>
      </c>
      <c r="AF27" s="119">
        <v>1</v>
      </c>
      <c r="AG27" s="859">
        <v>0</v>
      </c>
      <c r="AH27" s="125">
        <f t="shared" si="45"/>
        <v>958.28708348749888</v>
      </c>
      <c r="AI27" s="863">
        <f t="shared" si="4"/>
        <v>69.951619189853531</v>
      </c>
      <c r="AJ27" s="422">
        <f>AB8</f>
        <v>452</v>
      </c>
      <c r="AK27" s="866"/>
      <c r="AL27" s="522">
        <v>1</v>
      </c>
      <c r="AM27" s="859">
        <v>0</v>
      </c>
      <c r="AN27" s="125">
        <f t="shared" si="5"/>
        <v>452</v>
      </c>
      <c r="AO27" s="340">
        <f t="shared" si="6"/>
        <v>0</v>
      </c>
      <c r="AP27" s="850">
        <f t="shared" si="7"/>
        <v>506.28708348749888</v>
      </c>
      <c r="AQ27" s="889">
        <f t="shared" si="8"/>
        <v>69.951619189853531</v>
      </c>
      <c r="AR27" s="148">
        <v>1</v>
      </c>
      <c r="AS27" s="147">
        <f t="shared" si="9"/>
        <v>506.28708348749888</v>
      </c>
      <c r="AT27" s="889">
        <f t="shared" si="10"/>
        <v>69.951619189853531</v>
      </c>
      <c r="AU27" s="850">
        <f t="shared" si="11"/>
        <v>2400.8200265878581</v>
      </c>
      <c r="AV27" s="889" t="e">
        <f t="shared" si="12"/>
        <v>#REF!</v>
      </c>
      <c r="AW27" s="850">
        <f t="shared" si="3"/>
        <v>2400.8200265878581</v>
      </c>
      <c r="AX27" s="889" t="e">
        <f t="shared" si="13"/>
        <v>#REF!</v>
      </c>
      <c r="AY27" s="853">
        <f t="shared" si="28"/>
        <v>1</v>
      </c>
      <c r="AZ27" s="894" t="e">
        <f t="shared" si="27"/>
        <v>#REF!</v>
      </c>
      <c r="BE27" s="1583"/>
      <c r="BF27" s="1593"/>
      <c r="BG27" s="1583"/>
      <c r="BH27" s="1593"/>
      <c r="BI27" s="1587" t="s">
        <v>346</v>
      </c>
      <c r="BJ27" s="1587"/>
      <c r="BK27" s="765">
        <f t="shared" si="14"/>
        <v>4.7420131875577241</v>
      </c>
      <c r="BL27" s="766">
        <f t="shared" si="15"/>
        <v>958.28708348749888</v>
      </c>
      <c r="BM27" s="767">
        <f t="shared" si="16"/>
        <v>1</v>
      </c>
      <c r="BN27" s="766">
        <f t="shared" si="17"/>
        <v>958.28708348749888</v>
      </c>
      <c r="BO27" s="766">
        <f t="shared" si="18"/>
        <v>452</v>
      </c>
      <c r="BP27" s="766">
        <f t="shared" si="19"/>
        <v>1</v>
      </c>
      <c r="BQ27" s="766">
        <f t="shared" si="20"/>
        <v>452</v>
      </c>
      <c r="BR27" s="766">
        <f t="shared" si="21"/>
        <v>506.28708348749888</v>
      </c>
      <c r="BS27" s="643"/>
      <c r="BU27" s="1583"/>
      <c r="BV27" s="1593"/>
      <c r="BW27" s="1583"/>
      <c r="BX27" s="1593"/>
      <c r="BY27" s="1587" t="s">
        <v>346</v>
      </c>
      <c r="BZ27" s="1587"/>
      <c r="CA27" s="765">
        <f t="shared" si="22"/>
        <v>4.7420131875577241</v>
      </c>
      <c r="CB27" s="781">
        <f t="shared" si="23"/>
        <v>506.28708348749888</v>
      </c>
      <c r="CC27" s="782">
        <f t="shared" si="24"/>
        <v>1</v>
      </c>
      <c r="CD27" s="783">
        <f t="shared" si="24"/>
        <v>506.28708348749888</v>
      </c>
      <c r="CE27" s="782">
        <f t="shared" si="25"/>
        <v>2400.8200265878581</v>
      </c>
      <c r="CF27" s="782">
        <f t="shared" si="26"/>
        <v>2400.8200265878581</v>
      </c>
    </row>
    <row r="28" spans="2:84" ht="24.6" thickBot="1">
      <c r="B28" s="60"/>
      <c r="C28" s="218"/>
      <c r="D28" s="219"/>
      <c r="E28" s="51"/>
      <c r="F28" s="52"/>
      <c r="G28" s="52"/>
      <c r="H28" s="59"/>
      <c r="I28" s="56"/>
      <c r="J28" s="65"/>
      <c r="K28" s="302"/>
      <c r="L28" s="62"/>
      <c r="M28" s="203"/>
      <c r="N28" s="197"/>
      <c r="O28" s="248"/>
      <c r="P28" s="97" t="s">
        <v>75</v>
      </c>
      <c r="Q28" s="98">
        <f>'Ret CF if Unit not available'!O16/100</f>
        <v>0.21891300000000002</v>
      </c>
      <c r="R28" s="249">
        <f>'Ret CF if Unit not available'!P16</f>
        <v>3.7656000000000001</v>
      </c>
      <c r="S28" s="203"/>
      <c r="T28" s="203" t="s">
        <v>509</v>
      </c>
      <c r="U28" s="719">
        <f>'Ret CF if Unit not available'!W28</f>
        <v>0</v>
      </c>
      <c r="V28" s="1782"/>
      <c r="W28" s="1748"/>
      <c r="X28" s="1748"/>
      <c r="Y28" s="1748"/>
      <c r="Z28" s="1741" t="s">
        <v>495</v>
      </c>
      <c r="AA28" s="735" t="s">
        <v>509</v>
      </c>
      <c r="AB28" s="729">
        <f>C$16*F$26*J$26*N$26*Q28*U28</f>
        <v>0</v>
      </c>
      <c r="AC28" s="880" t="e">
        <f>100*AB28*SQRT(IF($C$16&gt;0,($D$16/$C$16/100)^2,0)+IF($F$26&gt;0,($G$26/$F$26/100)^2,0)+IF($J$26&gt;0,($K$26/$J$26/100)^2,0)+IF($N$26&gt;0,($O$26/$N$26/100)^2,0)+IF(Q28&gt;0,(R28/Q28/100)^2,0))</f>
        <v>#REF!</v>
      </c>
      <c r="AD28" s="130">
        <f t="shared" si="0"/>
        <v>958.28708348749888</v>
      </c>
      <c r="AE28" s="870">
        <f t="shared" si="1"/>
        <v>69.951619189853531</v>
      </c>
      <c r="AF28" s="122">
        <v>1</v>
      </c>
      <c r="AG28" s="860">
        <v>0</v>
      </c>
      <c r="AH28" s="126">
        <f t="shared" si="45"/>
        <v>958.28708348749888</v>
      </c>
      <c r="AI28" s="864">
        <f t="shared" si="4"/>
        <v>69.951619189853531</v>
      </c>
      <c r="AJ28" s="126">
        <f>$AB$6</f>
        <v>737</v>
      </c>
      <c r="AK28" s="864"/>
      <c r="AL28" s="121">
        <v>1</v>
      </c>
      <c r="AM28" s="860">
        <v>0</v>
      </c>
      <c r="AN28" s="126">
        <f t="shared" si="5"/>
        <v>737</v>
      </c>
      <c r="AO28" s="341">
        <f t="shared" si="6"/>
        <v>0</v>
      </c>
      <c r="AP28" s="849">
        <f t="shared" si="7"/>
        <v>221.28708348749888</v>
      </c>
      <c r="AQ28" s="890">
        <f t="shared" si="8"/>
        <v>69.951619189853531</v>
      </c>
      <c r="AR28" s="149">
        <v>1</v>
      </c>
      <c r="AS28" s="144">
        <f t="shared" si="9"/>
        <v>221.28708348749888</v>
      </c>
      <c r="AT28" s="890">
        <f t="shared" si="10"/>
        <v>69.951619189853531</v>
      </c>
      <c r="AU28" s="849">
        <f t="shared" si="11"/>
        <v>0</v>
      </c>
      <c r="AV28" s="890">
        <f t="shared" si="12"/>
        <v>0</v>
      </c>
      <c r="AW28" s="849">
        <f t="shared" si="3"/>
        <v>0</v>
      </c>
      <c r="AX28" s="890">
        <f t="shared" si="13"/>
        <v>0</v>
      </c>
      <c r="AY28" s="854">
        <f t="shared" si="28"/>
        <v>0</v>
      </c>
      <c r="AZ28" s="895">
        <f t="shared" si="27"/>
        <v>0</v>
      </c>
      <c r="BE28" s="1583"/>
      <c r="BF28" s="1593"/>
      <c r="BG28" s="1583"/>
      <c r="BH28" s="1593"/>
      <c r="BI28" s="1595" t="s">
        <v>495</v>
      </c>
      <c r="BJ28" s="774" t="s">
        <v>509</v>
      </c>
      <c r="BK28" s="765">
        <f t="shared" si="14"/>
        <v>0</v>
      </c>
      <c r="BL28" s="766">
        <f t="shared" si="15"/>
        <v>958.28708348749888</v>
      </c>
      <c r="BM28" s="767">
        <f t="shared" si="16"/>
        <v>1</v>
      </c>
      <c r="BN28" s="766">
        <f t="shared" si="17"/>
        <v>958.28708348749888</v>
      </c>
      <c r="BO28" s="766">
        <f t="shared" si="18"/>
        <v>737</v>
      </c>
      <c r="BP28" s="766">
        <f t="shared" si="19"/>
        <v>1</v>
      </c>
      <c r="BQ28" s="766">
        <f t="shared" si="20"/>
        <v>737</v>
      </c>
      <c r="BR28" s="766">
        <f t="shared" si="21"/>
        <v>221.28708348749888</v>
      </c>
      <c r="BS28" s="643"/>
      <c r="BU28" s="1583"/>
      <c r="BV28" s="1593"/>
      <c r="BW28" s="1583"/>
      <c r="BX28" s="1593"/>
      <c r="BY28" s="1595" t="s">
        <v>495</v>
      </c>
      <c r="BZ28" s="774" t="s">
        <v>509</v>
      </c>
      <c r="CA28" s="765">
        <f t="shared" si="22"/>
        <v>0</v>
      </c>
      <c r="CB28" s="781">
        <f t="shared" si="23"/>
        <v>221.28708348749888</v>
      </c>
      <c r="CC28" s="782">
        <f t="shared" si="24"/>
        <v>1</v>
      </c>
      <c r="CD28" s="783">
        <f t="shared" si="24"/>
        <v>221.28708348749888</v>
      </c>
      <c r="CE28" s="782">
        <f t="shared" si="25"/>
        <v>0</v>
      </c>
      <c r="CF28" s="782">
        <f t="shared" si="26"/>
        <v>0</v>
      </c>
    </row>
    <row r="29" spans="2:84" s="643" customFormat="1" ht="24.6" thickBot="1">
      <c r="B29" s="60"/>
      <c r="C29" s="218"/>
      <c r="D29" s="219"/>
      <c r="E29" s="51"/>
      <c r="F29" s="52"/>
      <c r="G29" s="52"/>
      <c r="H29" s="59"/>
      <c r="I29" s="56"/>
      <c r="J29" s="65"/>
      <c r="K29" s="302"/>
      <c r="L29" s="62"/>
      <c r="M29" s="202"/>
      <c r="N29" s="196"/>
      <c r="O29" s="246"/>
      <c r="P29" s="95"/>
      <c r="Q29" s="96"/>
      <c r="R29" s="247"/>
      <c r="S29" s="202"/>
      <c r="T29" s="202" t="s">
        <v>508</v>
      </c>
      <c r="U29" s="720">
        <f>'Ret CF if Unit not available'!W27</f>
        <v>0</v>
      </c>
      <c r="V29" s="1782"/>
      <c r="W29" s="1748"/>
      <c r="X29" s="1748"/>
      <c r="Y29" s="1748"/>
      <c r="Z29" s="1741"/>
      <c r="AA29" s="735" t="s">
        <v>511</v>
      </c>
      <c r="AB29" s="728">
        <f>C$16*F$26*J$26*N$26*Q28*U29</f>
        <v>0</v>
      </c>
      <c r="AC29" s="879" t="e">
        <f>100*AB28*SQRT(IF($C$16&gt;0,($D$16/$C$16/100)^2,0)+IF($F$26&gt;0,($G$26/$F$26/100)^2,0)+IF($J$26&gt;0,($K$26/$J$26/100)^2,0)+IF($N$26&gt;0,($O$26/$N$26/100)^2,0)+IF(Q28&gt;0,(R28/Q28/100)^2,0))</f>
        <v>#REF!</v>
      </c>
      <c r="AD29" s="130">
        <f t="shared" si="0"/>
        <v>958.28708348749888</v>
      </c>
      <c r="AE29" s="870">
        <f t="shared" si="1"/>
        <v>69.951619189853531</v>
      </c>
      <c r="AF29" s="122">
        <f>'Part KIU-KU'!O$25</f>
        <v>0.96779020000000004</v>
      </c>
      <c r="AG29" s="860">
        <v>0</v>
      </c>
      <c r="AH29" s="126">
        <f t="shared" ref="AH29" si="47">AD29*AF29</f>
        <v>927.42084818578326</v>
      </c>
      <c r="AI29" s="864">
        <f t="shared" ref="AI29" si="48">AH29*SQRT(IF(AD29&gt;0,(AE29/AD29)^2,0)+IF(AF29&gt;0,(AG29/AF29/100)^2,0))</f>
        <v>67.698491526072189</v>
      </c>
      <c r="AJ29" s="126">
        <v>0</v>
      </c>
      <c r="AK29" s="864"/>
      <c r="AL29" s="121">
        <f>'Part KIU-KU'!O$25</f>
        <v>0.96779020000000004</v>
      </c>
      <c r="AM29" s="860">
        <v>0</v>
      </c>
      <c r="AN29" s="126">
        <f t="shared" ref="AN29" si="49">AL29*AJ29</f>
        <v>0</v>
      </c>
      <c r="AO29" s="341">
        <f t="shared" ref="AO29" si="50">AN29*SQRT(IF(AJ29&gt;0,(AK29/AJ29)^2,0)+IF(AL29&gt;0,(AM29/AL29/100)^2,0))</f>
        <v>0</v>
      </c>
      <c r="AP29" s="849">
        <f t="shared" ref="AP29" si="51">AH29-AN29</f>
        <v>927.42084818578326</v>
      </c>
      <c r="AQ29" s="890">
        <f t="shared" ref="AQ29" si="52">SQRT(AO29^2+AI29^2)</f>
        <v>67.698491526072189</v>
      </c>
      <c r="AR29" s="149">
        <v>1</v>
      </c>
      <c r="AS29" s="144">
        <f>AP29*AR29</f>
        <v>927.42084818578326</v>
      </c>
      <c r="AT29" s="890">
        <f t="shared" ref="AT29" si="53">AQ29</f>
        <v>67.698491526072189</v>
      </c>
      <c r="AU29" s="849">
        <f>AP29*AB29</f>
        <v>0</v>
      </c>
      <c r="AV29" s="890">
        <f t="shared" ref="AV29" si="54">AU29*SQRT(IF(AB29&gt;0,(AC29/AB29/100)^2,0)+IF(AP29&gt;0,(AQ29/AP29),0))</f>
        <v>0</v>
      </c>
      <c r="AW29" s="849">
        <f>AS29*AB29</f>
        <v>0</v>
      </c>
      <c r="AX29" s="890">
        <f t="shared" ref="AX29" si="55">AW29*SQRT(IF(AS29&gt;0,(AT29/AS29)^2,0)+IF(AB29&gt;0,(AC29/AB29/100)^2,0))</f>
        <v>0</v>
      </c>
      <c r="AY29" s="854">
        <f t="shared" ref="AY29" si="56">IF(AU29&gt;0,AW29/AU29,0)</f>
        <v>0</v>
      </c>
      <c r="AZ29" s="895">
        <f t="shared" ref="AZ29" si="57">AY29*SQRT(IF(AU29&gt;0,(AV29/AU29)^2,0)+IF(AW29&gt;0,(AX29/AW29)^2,0))</f>
        <v>0</v>
      </c>
      <c r="BE29" s="1583"/>
      <c r="BF29" s="1593"/>
      <c r="BG29" s="1583"/>
      <c r="BH29" s="1594"/>
      <c r="BI29" s="1596"/>
      <c r="BJ29" s="774" t="s">
        <v>511</v>
      </c>
      <c r="BK29" s="765">
        <f t="shared" si="14"/>
        <v>0</v>
      </c>
      <c r="BL29" s="766">
        <f t="shared" si="15"/>
        <v>958.28708348749888</v>
      </c>
      <c r="BM29" s="767">
        <f t="shared" si="16"/>
        <v>0.96779020000000004</v>
      </c>
      <c r="BN29" s="766">
        <f t="shared" si="17"/>
        <v>927.42084818578326</v>
      </c>
      <c r="BO29" s="766">
        <f t="shared" si="18"/>
        <v>0</v>
      </c>
      <c r="BP29" s="766">
        <f t="shared" si="19"/>
        <v>0.96779020000000004</v>
      </c>
      <c r="BQ29" s="766">
        <f t="shared" si="20"/>
        <v>0</v>
      </c>
      <c r="BR29" s="766">
        <f t="shared" si="21"/>
        <v>927.42084818578326</v>
      </c>
      <c r="BU29" s="1583"/>
      <c r="BV29" s="1593"/>
      <c r="BW29" s="1583"/>
      <c r="BX29" s="1594"/>
      <c r="BY29" s="1596"/>
      <c r="BZ29" s="774" t="s">
        <v>511</v>
      </c>
      <c r="CA29" s="765">
        <f t="shared" si="22"/>
        <v>0</v>
      </c>
      <c r="CB29" s="781">
        <f t="shared" si="23"/>
        <v>927.42084818578326</v>
      </c>
      <c r="CC29" s="782">
        <f t="shared" si="24"/>
        <v>1</v>
      </c>
      <c r="CD29" s="783">
        <f t="shared" si="24"/>
        <v>927.42084818578326</v>
      </c>
      <c r="CE29" s="782">
        <f t="shared" si="25"/>
        <v>0</v>
      </c>
      <c r="CF29" s="782">
        <f t="shared" si="26"/>
        <v>0</v>
      </c>
    </row>
    <row r="30" spans="2:84" ht="15.6" thickBot="1">
      <c r="B30" s="60"/>
      <c r="C30" s="218"/>
      <c r="D30" s="219"/>
      <c r="E30" s="51"/>
      <c r="F30" s="52"/>
      <c r="G30" s="52"/>
      <c r="H30" s="59"/>
      <c r="I30" s="56"/>
      <c r="J30" s="65"/>
      <c r="K30" s="302"/>
      <c r="L30" s="62"/>
      <c r="M30" s="204" t="s">
        <v>60</v>
      </c>
      <c r="N30" s="198">
        <f>'Ret CF if Unit not available'!O83/100</f>
        <v>9.7012000000000001E-2</v>
      </c>
      <c r="O30" s="250">
        <f>'Ret CF if Unit not available'!P83</f>
        <v>3.5979000000000001</v>
      </c>
      <c r="P30" s="99" t="s">
        <v>77</v>
      </c>
      <c r="Q30" s="100">
        <f>'Ret CF if Unit not available'!O44/100</f>
        <v>0.53704099999999999</v>
      </c>
      <c r="R30" s="251">
        <f>'Ret CF if Unit not available'!P44</f>
        <v>11.680300000000001</v>
      </c>
      <c r="S30" s="204" t="s">
        <v>67</v>
      </c>
      <c r="T30" s="204"/>
      <c r="U30" s="204"/>
      <c r="V30" s="1782"/>
      <c r="W30" s="1748"/>
      <c r="X30" s="1748"/>
      <c r="Y30" s="1788" t="s">
        <v>343</v>
      </c>
      <c r="Z30" s="1783" t="s">
        <v>345</v>
      </c>
      <c r="AA30" s="1783"/>
      <c r="AB30" s="730">
        <f>C$16*F$26*J$26*N$30*Q30</f>
        <v>0.85443986243156356</v>
      </c>
      <c r="AC30" s="881" t="e">
        <f>100*AB30*SQRT(IF($C$16&gt;0,($D$16/$C$16/100)^2,0)+IF($F$26&gt;0,($G$26/$F$26/100)^2,0)+IF($J$26&gt;0,($K$26/$J$26/100)^2,0)+IF($N$30&gt;0,($O$30/$N$30/100)^2,0)+IF(Q30&gt;0,(R30/Q30/100)^2,0))</f>
        <v>#REF!</v>
      </c>
      <c r="AD30" s="128">
        <f t="shared" si="0"/>
        <v>958.28708348749888</v>
      </c>
      <c r="AE30" s="868">
        <f t="shared" si="1"/>
        <v>69.951619189853531</v>
      </c>
      <c r="AF30" s="120">
        <f>'Part KIU-KU'!O$25</f>
        <v>0.96779020000000004</v>
      </c>
      <c r="AG30" s="858">
        <f>'Part KIU-KU'!Q$25</f>
        <v>1.12687E-2</v>
      </c>
      <c r="AH30" s="124">
        <f t="shared" si="45"/>
        <v>927.42084818578326</v>
      </c>
      <c r="AI30" s="862">
        <f t="shared" si="4"/>
        <v>67.698577651152391</v>
      </c>
      <c r="AJ30" s="124">
        <f>$AB$7</f>
        <v>635</v>
      </c>
      <c r="AK30" s="862">
        <f>$AC$7</f>
        <v>84</v>
      </c>
      <c r="AL30" s="120">
        <f>'Part KIU-KU'!O$25</f>
        <v>0.96779020000000004</v>
      </c>
      <c r="AM30" s="858">
        <f>'Part KIU-KU'!J$25</f>
        <v>3.5229200000000002E-2</v>
      </c>
      <c r="AN30" s="124">
        <f t="shared" si="5"/>
        <v>614.54677700000002</v>
      </c>
      <c r="AO30" s="339">
        <f t="shared" si="6"/>
        <v>81.294684595090942</v>
      </c>
      <c r="AP30" s="847">
        <f t="shared" si="7"/>
        <v>312.87407118578324</v>
      </c>
      <c r="AQ30" s="886">
        <f t="shared" si="8"/>
        <v>105.79188607546624</v>
      </c>
      <c r="AR30" s="141">
        <v>1</v>
      </c>
      <c r="AS30" s="140">
        <f t="shared" si="9"/>
        <v>312.87407118578324</v>
      </c>
      <c r="AT30" s="886">
        <f t="shared" si="10"/>
        <v>105.79188607546624</v>
      </c>
      <c r="AU30" s="847">
        <f t="shared" si="11"/>
        <v>267.33207834238385</v>
      </c>
      <c r="AV30" s="886" t="e">
        <f t="shared" si="12"/>
        <v>#REF!</v>
      </c>
      <c r="AW30" s="847">
        <f t="shared" si="3"/>
        <v>267.33207834238385</v>
      </c>
      <c r="AX30" s="886" t="e">
        <f t="shared" si="13"/>
        <v>#REF!</v>
      </c>
      <c r="AY30" s="852">
        <f t="shared" si="28"/>
        <v>1</v>
      </c>
      <c r="AZ30" s="892" t="e">
        <f t="shared" si="27"/>
        <v>#REF!</v>
      </c>
      <c r="BE30" s="1583"/>
      <c r="BF30" s="1593"/>
      <c r="BG30" s="1583"/>
      <c r="BH30" s="1597" t="s">
        <v>343</v>
      </c>
      <c r="BI30" s="1600" t="s">
        <v>345</v>
      </c>
      <c r="BJ30" s="1601"/>
      <c r="BK30" s="765">
        <f t="shared" si="14"/>
        <v>0.85443986243156356</v>
      </c>
      <c r="BL30" s="766">
        <f t="shared" si="15"/>
        <v>958.28708348749888</v>
      </c>
      <c r="BM30" s="767">
        <f t="shared" si="16"/>
        <v>0.96779020000000004</v>
      </c>
      <c r="BN30" s="766">
        <f t="shared" si="17"/>
        <v>927.42084818578326</v>
      </c>
      <c r="BO30" s="766">
        <f t="shared" si="18"/>
        <v>635</v>
      </c>
      <c r="BP30" s="766">
        <f t="shared" si="19"/>
        <v>0.96779020000000004</v>
      </c>
      <c r="BQ30" s="766">
        <f t="shared" si="20"/>
        <v>614.54677700000002</v>
      </c>
      <c r="BR30" s="766">
        <f t="shared" si="21"/>
        <v>312.87407118578324</v>
      </c>
      <c r="BS30" s="643"/>
      <c r="BU30" s="1583"/>
      <c r="BV30" s="1593"/>
      <c r="BW30" s="1583"/>
      <c r="BX30" s="1597" t="s">
        <v>343</v>
      </c>
      <c r="BY30" s="1600" t="s">
        <v>345</v>
      </c>
      <c r="BZ30" s="1601"/>
      <c r="CA30" s="765">
        <f t="shared" si="22"/>
        <v>0.85443986243156356</v>
      </c>
      <c r="CB30" s="781">
        <f t="shared" si="23"/>
        <v>312.87407118578324</v>
      </c>
      <c r="CC30" s="782">
        <f t="shared" si="24"/>
        <v>1</v>
      </c>
      <c r="CD30" s="783">
        <f t="shared" si="24"/>
        <v>312.87407118578324</v>
      </c>
      <c r="CE30" s="782">
        <f t="shared" si="25"/>
        <v>267.33207834238385</v>
      </c>
      <c r="CF30" s="782">
        <f t="shared" si="26"/>
        <v>267.33207834238385</v>
      </c>
    </row>
    <row r="31" spans="2:84" ht="15" thickBot="1">
      <c r="B31" s="60"/>
      <c r="C31" s="218"/>
      <c r="D31" s="219"/>
      <c r="E31" s="51"/>
      <c r="F31" s="52"/>
      <c r="G31" s="52"/>
      <c r="H31" s="59"/>
      <c r="I31" s="56"/>
      <c r="J31" s="65"/>
      <c r="K31" s="302"/>
      <c r="L31" s="62"/>
      <c r="M31" s="205"/>
      <c r="N31" s="199"/>
      <c r="O31" s="252"/>
      <c r="P31" s="99" t="s">
        <v>74</v>
      </c>
      <c r="Q31" s="100">
        <f>'Ret CF if Unit not available'!O45/100</f>
        <v>0.18779199999999999</v>
      </c>
      <c r="R31" s="253">
        <f>'Ret CF if Unit not available'!P45</f>
        <v>8.9563000000000006</v>
      </c>
      <c r="S31" s="205"/>
      <c r="T31" s="205"/>
      <c r="U31" s="205"/>
      <c r="V31" s="1782"/>
      <c r="W31" s="1748"/>
      <c r="X31" s="1748"/>
      <c r="Y31" s="1788"/>
      <c r="Z31" s="1783" t="s">
        <v>346</v>
      </c>
      <c r="AA31" s="1783"/>
      <c r="AB31" s="731">
        <f t="shared" ref="AB31:AB32" si="58">C$16*F$26*J$26*N$30*Q31</f>
        <v>0.29877974055192841</v>
      </c>
      <c r="AC31" s="882" t="e">
        <f>100*AB31*SQRT(IF($C$16&gt;0,($D$16/$C$16/100)^2,0)+IF($F$26&gt;0,($G$26/$F$26/100)^2,0)+IF($J$26&gt;0,($K$26/$J$26/100)^2,0)+IF($N$30&gt;0,($O$30/$N$30/100)^2,0)+IF(Q31&gt;0,(R31/Q31/100)^2,0))</f>
        <v>#REF!</v>
      </c>
      <c r="AD31" s="129">
        <f t="shared" si="0"/>
        <v>958.28708348749888</v>
      </c>
      <c r="AE31" s="869">
        <f t="shared" si="1"/>
        <v>69.951619189853531</v>
      </c>
      <c r="AF31" s="119">
        <f>'Part KIU-KU'!O$25</f>
        <v>0.96779020000000004</v>
      </c>
      <c r="AG31" s="859">
        <f>'Part KIU-KU'!Q$25</f>
        <v>1.12687E-2</v>
      </c>
      <c r="AH31" s="125">
        <f t="shared" si="45"/>
        <v>927.42084818578326</v>
      </c>
      <c r="AI31" s="863">
        <f t="shared" si="4"/>
        <v>67.698577651152391</v>
      </c>
      <c r="AJ31" s="422">
        <f>AB8</f>
        <v>452</v>
      </c>
      <c r="AK31" s="866"/>
      <c r="AL31" s="119">
        <f>'Part KIU-KU'!O$25</f>
        <v>0.96779020000000004</v>
      </c>
      <c r="AM31" s="859">
        <f>'Part KIU-KU'!J$25</f>
        <v>3.5229200000000002E-2</v>
      </c>
      <c r="AN31" s="125">
        <f t="shared" si="5"/>
        <v>437.44117040000003</v>
      </c>
      <c r="AO31" s="340">
        <f t="shared" si="6"/>
        <v>0.15923598400000002</v>
      </c>
      <c r="AP31" s="850">
        <f t="shared" si="7"/>
        <v>489.97967778578322</v>
      </c>
      <c r="AQ31" s="889">
        <f t="shared" si="8"/>
        <v>67.698764922912076</v>
      </c>
      <c r="AR31" s="148">
        <v>1</v>
      </c>
      <c r="AS31" s="147">
        <f t="shared" si="9"/>
        <v>489.97967778578322</v>
      </c>
      <c r="AT31" s="889">
        <f t="shared" si="10"/>
        <v>67.698764922912076</v>
      </c>
      <c r="AU31" s="850">
        <f t="shared" si="11"/>
        <v>146.3960010045538</v>
      </c>
      <c r="AV31" s="889" t="e">
        <f t="shared" si="12"/>
        <v>#REF!</v>
      </c>
      <c r="AW31" s="850">
        <f t="shared" si="3"/>
        <v>146.3960010045538</v>
      </c>
      <c r="AX31" s="889" t="e">
        <f t="shared" si="13"/>
        <v>#REF!</v>
      </c>
      <c r="AY31" s="853">
        <f t="shared" si="28"/>
        <v>1</v>
      </c>
      <c r="AZ31" s="894" t="e">
        <f t="shared" si="27"/>
        <v>#REF!</v>
      </c>
      <c r="BE31" s="1583"/>
      <c r="BF31" s="1593"/>
      <c r="BG31" s="1583"/>
      <c r="BH31" s="1598"/>
      <c r="BI31" s="1587" t="s">
        <v>346</v>
      </c>
      <c r="BJ31" s="1587"/>
      <c r="BK31" s="765">
        <f t="shared" si="14"/>
        <v>0.29877974055192841</v>
      </c>
      <c r="BL31" s="766">
        <f t="shared" si="15"/>
        <v>958.28708348749888</v>
      </c>
      <c r="BM31" s="767">
        <f t="shared" si="16"/>
        <v>0.96779020000000004</v>
      </c>
      <c r="BN31" s="766">
        <f t="shared" si="17"/>
        <v>927.42084818578326</v>
      </c>
      <c r="BO31" s="766">
        <f t="shared" si="18"/>
        <v>452</v>
      </c>
      <c r="BP31" s="766">
        <f t="shared" si="19"/>
        <v>0.96779020000000004</v>
      </c>
      <c r="BQ31" s="766">
        <f t="shared" si="20"/>
        <v>437.44117040000003</v>
      </c>
      <c r="BR31" s="766">
        <f t="shared" si="21"/>
        <v>489.97967778578322</v>
      </c>
      <c r="BS31" s="643"/>
      <c r="BU31" s="1583"/>
      <c r="BV31" s="1593"/>
      <c r="BW31" s="1583"/>
      <c r="BX31" s="1598"/>
      <c r="BY31" s="1587" t="s">
        <v>346</v>
      </c>
      <c r="BZ31" s="1587"/>
      <c r="CA31" s="765">
        <f t="shared" si="22"/>
        <v>0.29877974055192841</v>
      </c>
      <c r="CB31" s="781">
        <f t="shared" si="23"/>
        <v>489.97967778578322</v>
      </c>
      <c r="CC31" s="782">
        <f t="shared" si="24"/>
        <v>1</v>
      </c>
      <c r="CD31" s="783">
        <f t="shared" si="24"/>
        <v>489.97967778578322</v>
      </c>
      <c r="CE31" s="782">
        <f t="shared" si="25"/>
        <v>146.3960010045538</v>
      </c>
      <c r="CF31" s="782">
        <f t="shared" si="26"/>
        <v>146.3960010045538</v>
      </c>
    </row>
    <row r="32" spans="2:84" ht="15" thickBot="1">
      <c r="B32" s="60"/>
      <c r="C32" s="218"/>
      <c r="D32" s="219"/>
      <c r="E32" s="51"/>
      <c r="F32" s="52"/>
      <c r="G32" s="52"/>
      <c r="H32" s="59"/>
      <c r="I32" s="56"/>
      <c r="J32" s="65"/>
      <c r="K32" s="303"/>
      <c r="L32" s="62"/>
      <c r="M32" s="206"/>
      <c r="N32" s="200"/>
      <c r="O32" s="254"/>
      <c r="P32" s="101" t="s">
        <v>75</v>
      </c>
      <c r="Q32" s="102">
        <f>'Ret CF if Unit not available'!O46/100</f>
        <v>0.27516699999999999</v>
      </c>
      <c r="R32" s="255">
        <f>'Ret CF if Unit not available'!P46</f>
        <v>10.1906</v>
      </c>
      <c r="S32" s="206"/>
      <c r="T32" s="206"/>
      <c r="U32" s="206"/>
      <c r="V32" s="1782"/>
      <c r="W32" s="1748"/>
      <c r="X32" s="1748"/>
      <c r="Y32" s="1788"/>
      <c r="Z32" s="1783" t="s">
        <v>347</v>
      </c>
      <c r="AA32" s="1783"/>
      <c r="AB32" s="732">
        <f t="shared" si="58"/>
        <v>0.43779460716352392</v>
      </c>
      <c r="AC32" s="883" t="e">
        <f>100*AB32*SQRT(IF($C$16&gt;0,($D$16/$C$16/100)^2,0)+IF($F$26&gt;0,($G$26/$F$26/100)^2,0)+IF($J$26&gt;0,($K$26/$J$26/100)^2,0)+IF($N$30&gt;0,($O$30/$N$30/100)^2,0)+IF(Q32&gt;0,(R32/Q32/100)^2,0))</f>
        <v>#REF!</v>
      </c>
      <c r="AD32" s="130">
        <f t="shared" si="0"/>
        <v>958.28708348749888</v>
      </c>
      <c r="AE32" s="870">
        <f t="shared" si="1"/>
        <v>69.951619189853531</v>
      </c>
      <c r="AF32" s="122">
        <f>'Part KIU-KU'!O$25</f>
        <v>0.96779020000000004</v>
      </c>
      <c r="AG32" s="860">
        <f>'Part KIU-KU'!Q$25</f>
        <v>1.12687E-2</v>
      </c>
      <c r="AH32" s="126">
        <f t="shared" si="45"/>
        <v>927.42084818578326</v>
      </c>
      <c r="AI32" s="864">
        <f t="shared" si="4"/>
        <v>67.698577651152391</v>
      </c>
      <c r="AJ32" s="126">
        <v>0</v>
      </c>
      <c r="AK32" s="864"/>
      <c r="AL32" s="122">
        <f>'Part KIU-KU'!O$25</f>
        <v>0.96779020000000004</v>
      </c>
      <c r="AM32" s="860">
        <f>'Part KIU-KU'!J$25</f>
        <v>3.5229200000000002E-2</v>
      </c>
      <c r="AN32" s="126">
        <f t="shared" si="5"/>
        <v>0</v>
      </c>
      <c r="AO32" s="341">
        <f t="shared" si="6"/>
        <v>0</v>
      </c>
      <c r="AP32" s="849">
        <f t="shared" si="7"/>
        <v>927.42084818578326</v>
      </c>
      <c r="AQ32" s="890">
        <f t="shared" si="8"/>
        <v>67.698577651152391</v>
      </c>
      <c r="AR32" s="149">
        <v>1</v>
      </c>
      <c r="AS32" s="144">
        <f t="shared" si="9"/>
        <v>927.42084818578326</v>
      </c>
      <c r="AT32" s="890">
        <f t="shared" si="10"/>
        <v>67.698577651152391</v>
      </c>
      <c r="AU32" s="849">
        <f t="shared" si="11"/>
        <v>406.01984590675715</v>
      </c>
      <c r="AV32" s="890" t="e">
        <f t="shared" si="12"/>
        <v>#REF!</v>
      </c>
      <c r="AW32" s="849">
        <f t="shared" si="3"/>
        <v>406.01984590675715</v>
      </c>
      <c r="AX32" s="890" t="e">
        <f t="shared" si="13"/>
        <v>#REF!</v>
      </c>
      <c r="AY32" s="854">
        <f t="shared" si="28"/>
        <v>1</v>
      </c>
      <c r="AZ32" s="895" t="e">
        <f t="shared" si="27"/>
        <v>#REF!</v>
      </c>
      <c r="BE32" s="1583"/>
      <c r="BF32" s="1593"/>
      <c r="BG32" s="1583"/>
      <c r="BH32" s="1599"/>
      <c r="BI32" s="1587" t="s">
        <v>347</v>
      </c>
      <c r="BJ32" s="1587"/>
      <c r="BK32" s="765">
        <f t="shared" si="14"/>
        <v>0.43779460716352392</v>
      </c>
      <c r="BL32" s="766">
        <f t="shared" si="15"/>
        <v>958.28708348749888</v>
      </c>
      <c r="BM32" s="767">
        <f t="shared" si="16"/>
        <v>0.96779020000000004</v>
      </c>
      <c r="BN32" s="766">
        <f t="shared" si="17"/>
        <v>927.42084818578326</v>
      </c>
      <c r="BO32" s="766">
        <f t="shared" si="18"/>
        <v>0</v>
      </c>
      <c r="BP32" s="766">
        <f t="shared" si="19"/>
        <v>0.96779020000000004</v>
      </c>
      <c r="BQ32" s="766">
        <f t="shared" si="20"/>
        <v>0</v>
      </c>
      <c r="BR32" s="766">
        <f t="shared" si="21"/>
        <v>927.42084818578326</v>
      </c>
      <c r="BS32" s="643"/>
      <c r="BU32" s="1583"/>
      <c r="BV32" s="1593"/>
      <c r="BW32" s="1583"/>
      <c r="BX32" s="1599"/>
      <c r="BY32" s="1587" t="s">
        <v>347</v>
      </c>
      <c r="BZ32" s="1587"/>
      <c r="CA32" s="765">
        <f t="shared" si="22"/>
        <v>0.43779460716352392</v>
      </c>
      <c r="CB32" s="781">
        <f t="shared" si="23"/>
        <v>927.42084818578326</v>
      </c>
      <c r="CC32" s="782">
        <f t="shared" si="24"/>
        <v>1</v>
      </c>
      <c r="CD32" s="783">
        <f t="shared" si="24"/>
        <v>927.42084818578326</v>
      </c>
      <c r="CE32" s="782">
        <f t="shared" si="25"/>
        <v>406.01984590675715</v>
      </c>
      <c r="CF32" s="782">
        <f t="shared" si="26"/>
        <v>406.01984590675715</v>
      </c>
    </row>
    <row r="33" spans="2:84" ht="15.6" thickBot="1">
      <c r="B33" s="60"/>
      <c r="C33" s="218"/>
      <c r="D33" s="219"/>
      <c r="E33" s="51"/>
      <c r="F33" s="52"/>
      <c r="G33" s="52"/>
      <c r="H33" s="59"/>
      <c r="I33" s="256" t="s">
        <v>55</v>
      </c>
      <c r="J33" s="66">
        <f>SecMktProportions!D7</f>
        <v>42</v>
      </c>
      <c r="K33" s="304" t="e">
        <f>SecMktProportions!#REF!</f>
        <v>#REF!</v>
      </c>
      <c r="L33" s="63" t="s">
        <v>65</v>
      </c>
      <c r="M33" s="257" t="s">
        <v>59</v>
      </c>
      <c r="N33" s="258">
        <v>1</v>
      </c>
      <c r="O33" s="259">
        <v>0</v>
      </c>
      <c r="P33" s="260"/>
      <c r="Q33" s="261"/>
      <c r="R33" s="259"/>
      <c r="S33" s="260" t="s">
        <v>68</v>
      </c>
      <c r="T33" s="658"/>
      <c r="U33" s="658"/>
      <c r="V33" s="1782"/>
      <c r="W33" s="1748"/>
      <c r="X33" s="1784" t="s">
        <v>342</v>
      </c>
      <c r="Y33" s="1781" t="s">
        <v>349</v>
      </c>
      <c r="Z33" s="1781"/>
      <c r="AA33" s="1781"/>
      <c r="AB33" s="733">
        <f>C$16*F$26*J33*N33</f>
        <v>16.400179463849998</v>
      </c>
      <c r="AC33" s="884" t="e">
        <f>100*AB33*SQRT(IF($C$16&gt;0,($D$16/$C$16/100)^2,0)+IF($F$26&gt;0,($G$26/$F$26/100)^2,0)+IF($J$26&gt;0,($K$26/$J$26/100)^2,0)+IF($N$33&gt;0,($O$33/$N$33/100)^2,0))</f>
        <v>#REF!</v>
      </c>
      <c r="AD33" s="128">
        <f t="shared" si="0"/>
        <v>958.28708348749888</v>
      </c>
      <c r="AE33" s="868">
        <f t="shared" si="1"/>
        <v>69.951619189853531</v>
      </c>
      <c r="AF33" s="120">
        <v>1</v>
      </c>
      <c r="AG33" s="858">
        <v>0</v>
      </c>
      <c r="AH33" s="124">
        <f t="shared" si="45"/>
        <v>958.28708348749888</v>
      </c>
      <c r="AI33" s="862">
        <f t="shared" si="4"/>
        <v>69.951619189853531</v>
      </c>
      <c r="AJ33" s="124">
        <f>$AB$7</f>
        <v>635</v>
      </c>
      <c r="AK33" s="862">
        <f>$AC$7</f>
        <v>84</v>
      </c>
      <c r="AL33" s="521">
        <v>1</v>
      </c>
      <c r="AM33" s="858">
        <v>0</v>
      </c>
      <c r="AN33" s="124">
        <f t="shared" si="5"/>
        <v>635</v>
      </c>
      <c r="AO33" s="339">
        <f t="shared" si="6"/>
        <v>84</v>
      </c>
      <c r="AP33" s="847">
        <f t="shared" si="7"/>
        <v>323.28708348749888</v>
      </c>
      <c r="AQ33" s="886">
        <f t="shared" si="8"/>
        <v>109.31252914136735</v>
      </c>
      <c r="AR33" s="141">
        <v>1</v>
      </c>
      <c r="AS33" s="140">
        <f t="shared" si="9"/>
        <v>323.28708348749888</v>
      </c>
      <c r="AT33" s="886">
        <f t="shared" si="10"/>
        <v>109.31252914136735</v>
      </c>
      <c r="AU33" s="847">
        <f t="shared" si="11"/>
        <v>5301.9661875396387</v>
      </c>
      <c r="AV33" s="886" t="e">
        <f t="shared" si="12"/>
        <v>#REF!</v>
      </c>
      <c r="AW33" s="847">
        <f t="shared" si="3"/>
        <v>5301.9661875396387</v>
      </c>
      <c r="AX33" s="886" t="e">
        <f t="shared" si="13"/>
        <v>#REF!</v>
      </c>
      <c r="AY33" s="852">
        <f t="shared" si="28"/>
        <v>1</v>
      </c>
      <c r="AZ33" s="892" t="e">
        <f t="shared" si="27"/>
        <v>#REF!</v>
      </c>
      <c r="BE33" s="1583"/>
      <c r="BF33" s="1593"/>
      <c r="BG33" s="1583" t="s">
        <v>342</v>
      </c>
      <c r="BH33" s="1584" t="s">
        <v>349</v>
      </c>
      <c r="BI33" s="1585"/>
      <c r="BJ33" s="1586"/>
      <c r="BK33" s="765">
        <f t="shared" si="14"/>
        <v>16.400179463849998</v>
      </c>
      <c r="BL33" s="766">
        <f t="shared" si="15"/>
        <v>958.28708348749888</v>
      </c>
      <c r="BM33" s="767">
        <f t="shared" si="16"/>
        <v>1</v>
      </c>
      <c r="BN33" s="766">
        <f t="shared" si="17"/>
        <v>958.28708348749888</v>
      </c>
      <c r="BO33" s="766">
        <f t="shared" si="18"/>
        <v>635</v>
      </c>
      <c r="BP33" s="766">
        <f t="shared" si="19"/>
        <v>1</v>
      </c>
      <c r="BQ33" s="766">
        <f t="shared" si="20"/>
        <v>635</v>
      </c>
      <c r="BR33" s="766">
        <f t="shared" si="21"/>
        <v>323.28708348749888</v>
      </c>
      <c r="BS33" s="643"/>
      <c r="BU33" s="1583"/>
      <c r="BV33" s="1593"/>
      <c r="BW33" s="1583" t="s">
        <v>342</v>
      </c>
      <c r="BX33" s="1584" t="s">
        <v>349</v>
      </c>
      <c r="BY33" s="1585"/>
      <c r="BZ33" s="1586"/>
      <c r="CA33" s="765">
        <f t="shared" si="22"/>
        <v>16.400179463849998</v>
      </c>
      <c r="CB33" s="781">
        <f t="shared" si="23"/>
        <v>323.28708348749888</v>
      </c>
      <c r="CC33" s="782">
        <f t="shared" si="24"/>
        <v>1</v>
      </c>
      <c r="CD33" s="783">
        <f t="shared" si="24"/>
        <v>323.28708348749888</v>
      </c>
      <c r="CE33" s="782">
        <f t="shared" si="25"/>
        <v>5301.9661875396387</v>
      </c>
      <c r="CF33" s="782">
        <f t="shared" si="26"/>
        <v>5301.9661875396387</v>
      </c>
    </row>
    <row r="34" spans="2:84" ht="15" thickBot="1">
      <c r="B34" s="60"/>
      <c r="C34" s="218"/>
      <c r="D34" s="219"/>
      <c r="E34" s="51"/>
      <c r="F34" s="52"/>
      <c r="G34" s="52"/>
      <c r="H34" s="59"/>
      <c r="I34" s="256" t="s">
        <v>56</v>
      </c>
      <c r="J34" s="66">
        <f>SecMktProportions!D8</f>
        <v>42</v>
      </c>
      <c r="K34" s="304" t="e">
        <f>SecMktProportions!#REF!</f>
        <v>#REF!</v>
      </c>
      <c r="L34" s="63" t="s">
        <v>65</v>
      </c>
      <c r="M34" s="257" t="s">
        <v>59</v>
      </c>
      <c r="N34" s="258">
        <v>1</v>
      </c>
      <c r="O34" s="259">
        <v>0</v>
      </c>
      <c r="P34" s="260"/>
      <c r="Q34" s="261"/>
      <c r="R34" s="259"/>
      <c r="S34" s="260" t="s">
        <v>68</v>
      </c>
      <c r="T34" s="658"/>
      <c r="U34" s="658"/>
      <c r="V34" s="1782"/>
      <c r="W34" s="1748"/>
      <c r="X34" s="1784"/>
      <c r="Y34" s="1781" t="s">
        <v>350</v>
      </c>
      <c r="Z34" s="1781"/>
      <c r="AA34" s="1781"/>
      <c r="AB34" s="733">
        <f t="shared" ref="AB34:AB35" si="59">C$16*F$26*J34*N34</f>
        <v>16.400179463849998</v>
      </c>
      <c r="AC34" s="884" t="e">
        <f>100*AB34*SQRT(IF($C$16&gt;0,($D$16/$C$16/100)^2,0)+IF($F$26&gt;0,($G$26/$F$26/100)^2,0)+IF($J$26&gt;0,($K$26/$J$26/100)^2,0)+IF($N$33&gt;0,($O$33/$N$33/100)^2,0))</f>
        <v>#REF!</v>
      </c>
      <c r="AD34" s="129">
        <f t="shared" si="0"/>
        <v>958.28708348749888</v>
      </c>
      <c r="AE34" s="869">
        <f t="shared" si="1"/>
        <v>69.951619189853531</v>
      </c>
      <c r="AF34" s="119">
        <v>1</v>
      </c>
      <c r="AG34" s="859">
        <v>0</v>
      </c>
      <c r="AH34" s="125">
        <f t="shared" si="45"/>
        <v>958.28708348749888</v>
      </c>
      <c r="AI34" s="863">
        <f t="shared" si="4"/>
        <v>69.951619189853531</v>
      </c>
      <c r="AJ34" s="125">
        <f>$AB$7</f>
        <v>635</v>
      </c>
      <c r="AK34" s="863">
        <f>$AC$7</f>
        <v>84</v>
      </c>
      <c r="AL34" s="522">
        <v>1</v>
      </c>
      <c r="AM34" s="859">
        <v>0</v>
      </c>
      <c r="AN34" s="125">
        <f t="shared" si="5"/>
        <v>635</v>
      </c>
      <c r="AO34" s="340">
        <f t="shared" si="6"/>
        <v>84</v>
      </c>
      <c r="AP34" s="850">
        <f t="shared" si="7"/>
        <v>323.28708348749888</v>
      </c>
      <c r="AQ34" s="889">
        <f t="shared" si="8"/>
        <v>109.31252914136735</v>
      </c>
      <c r="AR34" s="148">
        <v>1</v>
      </c>
      <c r="AS34" s="147">
        <f t="shared" si="9"/>
        <v>323.28708348749888</v>
      </c>
      <c r="AT34" s="889">
        <f t="shared" si="10"/>
        <v>109.31252914136735</v>
      </c>
      <c r="AU34" s="850">
        <f t="shared" si="11"/>
        <v>5301.9661875396387</v>
      </c>
      <c r="AV34" s="889" t="e">
        <f t="shared" si="12"/>
        <v>#REF!</v>
      </c>
      <c r="AW34" s="850">
        <f t="shared" si="3"/>
        <v>5301.9661875396387</v>
      </c>
      <c r="AX34" s="889" t="e">
        <f t="shared" si="13"/>
        <v>#REF!</v>
      </c>
      <c r="AY34" s="853">
        <f t="shared" si="28"/>
        <v>1</v>
      </c>
      <c r="AZ34" s="894" t="e">
        <f t="shared" si="27"/>
        <v>#REF!</v>
      </c>
      <c r="BE34" s="1583"/>
      <c r="BF34" s="1593"/>
      <c r="BG34" s="1583"/>
      <c r="BH34" s="1575" t="s">
        <v>350</v>
      </c>
      <c r="BI34" s="1575"/>
      <c r="BJ34" s="1575"/>
      <c r="BK34" s="765">
        <f t="shared" si="14"/>
        <v>16.400179463849998</v>
      </c>
      <c r="BL34" s="766">
        <f t="shared" si="15"/>
        <v>958.28708348749888</v>
      </c>
      <c r="BM34" s="767">
        <f t="shared" si="16"/>
        <v>1</v>
      </c>
      <c r="BN34" s="766">
        <f t="shared" si="17"/>
        <v>958.28708348749888</v>
      </c>
      <c r="BO34" s="766">
        <f t="shared" si="18"/>
        <v>635</v>
      </c>
      <c r="BP34" s="766">
        <f t="shared" si="19"/>
        <v>1</v>
      </c>
      <c r="BQ34" s="766">
        <f t="shared" si="20"/>
        <v>635</v>
      </c>
      <c r="BR34" s="766">
        <f t="shared" si="21"/>
        <v>323.28708348749888</v>
      </c>
      <c r="BS34" s="643"/>
      <c r="BU34" s="1583"/>
      <c r="BV34" s="1593"/>
      <c r="BW34" s="1583"/>
      <c r="BX34" s="1575" t="s">
        <v>350</v>
      </c>
      <c r="BY34" s="1575"/>
      <c r="BZ34" s="1575"/>
      <c r="CA34" s="765">
        <f t="shared" si="22"/>
        <v>16.400179463849998</v>
      </c>
      <c r="CB34" s="781">
        <f t="shared" si="23"/>
        <v>323.28708348749888</v>
      </c>
      <c r="CC34" s="782">
        <f t="shared" si="24"/>
        <v>1</v>
      </c>
      <c r="CD34" s="783">
        <f t="shared" si="24"/>
        <v>323.28708348749888</v>
      </c>
      <c r="CE34" s="782">
        <f t="shared" si="25"/>
        <v>5301.9661875396387</v>
      </c>
      <c r="CF34" s="782">
        <f t="shared" si="26"/>
        <v>5301.9661875396387</v>
      </c>
    </row>
    <row r="35" spans="2:84" ht="15" thickBot="1">
      <c r="B35" s="60"/>
      <c r="C35" s="218"/>
      <c r="D35" s="219"/>
      <c r="E35" s="51"/>
      <c r="F35" s="52"/>
      <c r="G35" s="52"/>
      <c r="H35" s="59"/>
      <c r="I35" s="256" t="s">
        <v>57</v>
      </c>
      <c r="J35" s="66">
        <f>SecMktProportions!D9</f>
        <v>42</v>
      </c>
      <c r="K35" s="304" t="e">
        <f>SecMktProportions!#REF!</f>
        <v>#REF!</v>
      </c>
      <c r="L35" s="63" t="s">
        <v>65</v>
      </c>
      <c r="M35" s="257" t="s">
        <v>59</v>
      </c>
      <c r="N35" s="258">
        <v>1</v>
      </c>
      <c r="O35" s="259">
        <v>0</v>
      </c>
      <c r="P35" s="260"/>
      <c r="Q35" s="261"/>
      <c r="R35" s="259"/>
      <c r="S35" s="260" t="s">
        <v>68</v>
      </c>
      <c r="T35" s="658"/>
      <c r="U35" s="658"/>
      <c r="V35" s="1782"/>
      <c r="W35" s="1748"/>
      <c r="X35" s="1784"/>
      <c r="Y35" s="1781" t="s">
        <v>57</v>
      </c>
      <c r="Z35" s="1781"/>
      <c r="AA35" s="1781"/>
      <c r="AB35" s="733">
        <f t="shared" si="59"/>
        <v>16.400179463849998</v>
      </c>
      <c r="AC35" s="884" t="e">
        <f>100*AB35*SQRT(IF($C$16&gt;0,($D$16/$C$16/100)^2,0)+IF($F$26&gt;0,($G$26/$F$26/100)^2,0)+IF($J$26&gt;0,($K$26/$J$26/100)^2,0)+IF($N$33&gt;0,($O$33/$N$33/100)^2,0))</f>
        <v>#REF!</v>
      </c>
      <c r="AD35" s="129">
        <f t="shared" si="0"/>
        <v>958.28708348749888</v>
      </c>
      <c r="AE35" s="869">
        <f t="shared" si="1"/>
        <v>69.951619189853531</v>
      </c>
      <c r="AF35" s="119">
        <v>1</v>
      </c>
      <c r="AG35" s="859">
        <v>0</v>
      </c>
      <c r="AH35" s="125">
        <f t="shared" si="45"/>
        <v>958.28708348749888</v>
      </c>
      <c r="AI35" s="863">
        <f t="shared" si="4"/>
        <v>69.951619189853531</v>
      </c>
      <c r="AJ35" s="125">
        <f>$AB$7</f>
        <v>635</v>
      </c>
      <c r="AK35" s="863">
        <f>$AC$7</f>
        <v>84</v>
      </c>
      <c r="AL35" s="522">
        <v>1</v>
      </c>
      <c r="AM35" s="859">
        <v>0</v>
      </c>
      <c r="AN35" s="125">
        <f t="shared" si="5"/>
        <v>635</v>
      </c>
      <c r="AO35" s="340">
        <f t="shared" si="6"/>
        <v>84</v>
      </c>
      <c r="AP35" s="850">
        <f t="shared" si="7"/>
        <v>323.28708348749888</v>
      </c>
      <c r="AQ35" s="889">
        <f t="shared" si="8"/>
        <v>109.31252914136735</v>
      </c>
      <c r="AR35" s="148">
        <v>1</v>
      </c>
      <c r="AS35" s="147">
        <f t="shared" si="9"/>
        <v>323.28708348749888</v>
      </c>
      <c r="AT35" s="889">
        <f t="shared" si="10"/>
        <v>109.31252914136735</v>
      </c>
      <c r="AU35" s="850">
        <f t="shared" si="11"/>
        <v>5301.9661875396387</v>
      </c>
      <c r="AV35" s="889" t="e">
        <f t="shared" si="12"/>
        <v>#REF!</v>
      </c>
      <c r="AW35" s="850">
        <f t="shared" si="3"/>
        <v>5301.9661875396387</v>
      </c>
      <c r="AX35" s="889" t="e">
        <f t="shared" si="13"/>
        <v>#REF!</v>
      </c>
      <c r="AY35" s="853">
        <f t="shared" si="28"/>
        <v>1</v>
      </c>
      <c r="AZ35" s="894" t="e">
        <f t="shared" si="27"/>
        <v>#REF!</v>
      </c>
      <c r="BE35" s="1583"/>
      <c r="BF35" s="1593"/>
      <c r="BG35" s="1583"/>
      <c r="BH35" s="1575" t="s">
        <v>57</v>
      </c>
      <c r="BI35" s="1575"/>
      <c r="BJ35" s="1575"/>
      <c r="BK35" s="765">
        <f t="shared" si="14"/>
        <v>16.400179463849998</v>
      </c>
      <c r="BL35" s="766">
        <f t="shared" si="15"/>
        <v>958.28708348749888</v>
      </c>
      <c r="BM35" s="767">
        <f t="shared" si="16"/>
        <v>1</v>
      </c>
      <c r="BN35" s="766">
        <f t="shared" si="17"/>
        <v>958.28708348749888</v>
      </c>
      <c r="BO35" s="766">
        <f t="shared" si="18"/>
        <v>635</v>
      </c>
      <c r="BP35" s="766">
        <f t="shared" si="19"/>
        <v>1</v>
      </c>
      <c r="BQ35" s="766">
        <f t="shared" si="20"/>
        <v>635</v>
      </c>
      <c r="BR35" s="766">
        <f t="shared" si="21"/>
        <v>323.28708348749888</v>
      </c>
      <c r="BS35" s="643"/>
      <c r="BU35" s="1583"/>
      <c r="BV35" s="1593"/>
      <c r="BW35" s="1583"/>
      <c r="BX35" s="1575" t="s">
        <v>57</v>
      </c>
      <c r="BY35" s="1575"/>
      <c r="BZ35" s="1575"/>
      <c r="CA35" s="765">
        <f t="shared" si="22"/>
        <v>16.400179463849998</v>
      </c>
      <c r="CB35" s="781">
        <f t="shared" si="23"/>
        <v>323.28708348749888</v>
      </c>
      <c r="CC35" s="782">
        <f t="shared" si="24"/>
        <v>1</v>
      </c>
      <c r="CD35" s="783">
        <f t="shared" si="24"/>
        <v>323.28708348749888</v>
      </c>
      <c r="CE35" s="782">
        <f t="shared" si="25"/>
        <v>5301.9661875396387</v>
      </c>
      <c r="CF35" s="782">
        <f t="shared" si="26"/>
        <v>5301.9661875396387</v>
      </c>
    </row>
    <row r="36" spans="2:84" ht="15" thickBot="1">
      <c r="B36" s="220"/>
      <c r="C36" s="221"/>
      <c r="D36" s="222"/>
      <c r="E36" s="53"/>
      <c r="F36" s="54"/>
      <c r="G36" s="54"/>
      <c r="H36" s="58"/>
      <c r="I36" s="256" t="s">
        <v>58</v>
      </c>
      <c r="J36" s="66">
        <f>SecMktProportions!D10</f>
        <v>42</v>
      </c>
      <c r="K36" s="304" t="e">
        <f>SecMktProportions!#REF!</f>
        <v>#REF!</v>
      </c>
      <c r="L36" s="63" t="s">
        <v>65</v>
      </c>
      <c r="M36" s="257"/>
      <c r="N36" s="260"/>
      <c r="O36" s="259"/>
      <c r="P36" s="260"/>
      <c r="Q36" s="260"/>
      <c r="R36" s="262"/>
      <c r="S36" s="260"/>
      <c r="T36" s="658"/>
      <c r="U36" s="658"/>
      <c r="V36" s="1782"/>
      <c r="W36" s="1748"/>
      <c r="X36" s="1780" t="s">
        <v>266</v>
      </c>
      <c r="Y36" s="1780"/>
      <c r="Z36" s="1780"/>
      <c r="AA36" s="1780"/>
      <c r="AB36" s="733">
        <f>C$16*F$26*J36</f>
        <v>16.400179463849998</v>
      </c>
      <c r="AC36" s="885" t="e">
        <f>100*AB36*SQRT(IF($C$16&gt;0,($D$16/$C$16/100)^2,0)+IF($F$26&gt;0,($G$26/$F$26/100)^2,0)+IF($J$26&gt;0,($K$26/$J$26/100)^2,0)+IF($N$33&gt;0,($O$33/$N$33/100)^2,0))</f>
        <v>#REF!</v>
      </c>
      <c r="AD36" s="130">
        <f t="shared" si="0"/>
        <v>958.28708348749888</v>
      </c>
      <c r="AE36" s="870">
        <f t="shared" si="1"/>
        <v>69.951619189853531</v>
      </c>
      <c r="AF36" s="122">
        <f>'Part KIU-KU'!O$25</f>
        <v>0.96779020000000004</v>
      </c>
      <c r="AG36" s="860">
        <v>0</v>
      </c>
      <c r="AH36" s="126">
        <v>954</v>
      </c>
      <c r="AI36" s="864">
        <f t="shared" si="4"/>
        <v>69.63867702803158</v>
      </c>
      <c r="AJ36" s="126">
        <v>391</v>
      </c>
      <c r="AK36" s="864"/>
      <c r="AL36" s="122" t="e">
        <f>SUMPRODUCT(AL17:AL35,AC17:AC35)/SUM(AC17:AC35)</f>
        <v>#REF!</v>
      </c>
      <c r="AM36" s="860">
        <v>0</v>
      </c>
      <c r="AN36" s="126">
        <v>390</v>
      </c>
      <c r="AO36" s="341" t="e">
        <f t="shared" si="6"/>
        <v>#REF!</v>
      </c>
      <c r="AP36" s="849">
        <f t="shared" si="7"/>
        <v>564</v>
      </c>
      <c r="AQ36" s="890" t="e">
        <f t="shared" si="8"/>
        <v>#REF!</v>
      </c>
      <c r="AR36" s="149">
        <v>0</v>
      </c>
      <c r="AS36" s="144">
        <f t="shared" si="9"/>
        <v>0</v>
      </c>
      <c r="AT36" s="890" t="e">
        <f t="shared" si="10"/>
        <v>#REF!</v>
      </c>
      <c r="AU36" s="849">
        <f t="shared" si="11"/>
        <v>9249.7012176113985</v>
      </c>
      <c r="AV36" s="890" t="e">
        <f t="shared" si="12"/>
        <v>#REF!</v>
      </c>
      <c r="AW36" s="849">
        <f t="shared" si="3"/>
        <v>0</v>
      </c>
      <c r="AX36" s="890" t="e">
        <f t="shared" si="13"/>
        <v>#REF!</v>
      </c>
      <c r="AY36" s="854">
        <f t="shared" si="28"/>
        <v>0</v>
      </c>
      <c r="AZ36" s="895" t="e">
        <f t="shared" si="27"/>
        <v>#REF!</v>
      </c>
      <c r="BE36" s="1583"/>
      <c r="BF36" s="1594"/>
      <c r="BG36" s="1587" t="s">
        <v>266</v>
      </c>
      <c r="BH36" s="1587"/>
      <c r="BI36" s="1587"/>
      <c r="BJ36" s="1587"/>
      <c r="BK36" s="765">
        <f t="shared" si="14"/>
        <v>16.400179463849998</v>
      </c>
      <c r="BL36" s="766">
        <f t="shared" si="15"/>
        <v>958.28708348749888</v>
      </c>
      <c r="BM36" s="767">
        <f t="shared" si="16"/>
        <v>0.96779020000000004</v>
      </c>
      <c r="BN36" s="766">
        <f t="shared" si="17"/>
        <v>954</v>
      </c>
      <c r="BO36" s="766">
        <f t="shared" si="18"/>
        <v>391</v>
      </c>
      <c r="BP36" s="766" t="e">
        <f t="shared" si="19"/>
        <v>#REF!</v>
      </c>
      <c r="BQ36" s="766">
        <f t="shared" si="20"/>
        <v>390</v>
      </c>
      <c r="BR36" s="766">
        <f t="shared" si="21"/>
        <v>564</v>
      </c>
      <c r="BS36" s="643"/>
      <c r="BU36" s="1583"/>
      <c r="BV36" s="1594"/>
      <c r="BW36" s="1587" t="s">
        <v>266</v>
      </c>
      <c r="BX36" s="1587"/>
      <c r="BY36" s="1587"/>
      <c r="BZ36" s="1587"/>
      <c r="CA36" s="765">
        <f t="shared" si="22"/>
        <v>16.400179463849998</v>
      </c>
      <c r="CB36" s="781">
        <f t="shared" si="23"/>
        <v>564</v>
      </c>
      <c r="CC36" s="782">
        <f t="shared" si="24"/>
        <v>0</v>
      </c>
      <c r="CD36" s="783">
        <f t="shared" si="24"/>
        <v>0</v>
      </c>
      <c r="CE36" s="782">
        <f t="shared" si="25"/>
        <v>9249.7012176113985</v>
      </c>
      <c r="CF36" s="782">
        <f t="shared" si="26"/>
        <v>0</v>
      </c>
    </row>
    <row r="37" spans="2:84" ht="27" customHeight="1" thickBot="1">
      <c r="AB37" s="419">
        <f>SUM(AB14:AB36)</f>
        <v>79.309430844936301</v>
      </c>
      <c r="AC37" s="867"/>
      <c r="AD37" s="570">
        <f>SUMPRODUCT($AB14:$AB36,AD14:AD36)/SUM(AB14:AB36)</f>
        <v>958.28708348749888</v>
      </c>
      <c r="AE37" s="867"/>
      <c r="AF37" s="571">
        <f>SUMPRODUCT($AB14:$AB36,AF14:AF36)</f>
        <v>78.695981003491937</v>
      </c>
      <c r="AG37" s="867"/>
      <c r="AH37" s="570">
        <f>SUMPRODUCT($AB14:$AB36,AH14:AH36)</f>
        <v>75853.443335401884</v>
      </c>
      <c r="AI37" s="867"/>
      <c r="AJ37" s="570">
        <f>SUMPRODUCT($AB14:$AB36,AJ14:AJ36)</f>
        <v>45134.310438094741</v>
      </c>
      <c r="AK37" s="867"/>
      <c r="AL37" s="571" t="e">
        <f>SUMPRODUCT($AB14:$AB36,AL14:AL36)</f>
        <v>#REF!</v>
      </c>
      <c r="AM37" s="861"/>
      <c r="AN37" s="570">
        <f>SUMPRODUCT($AB14:$AB36,AN14:AN36)</f>
        <v>44925.877713800794</v>
      </c>
      <c r="AP37" s="855">
        <f>SUMPRODUCT($AB14:$AB36,AP14:AP36)</f>
        <v>30927.565621601083</v>
      </c>
      <c r="AQ37" s="867"/>
      <c r="AS37" s="570">
        <f>SUMPRODUCT($AB14:$AB36,AS14:AS36)</f>
        <v>21581.064498289787</v>
      </c>
      <c r="AT37" s="867"/>
      <c r="AU37" s="400">
        <f>SUM(AU14:AU36)</f>
        <v>30927.565621601083</v>
      </c>
      <c r="AV37" s="891" t="e">
        <f>SQRT(AV14^2+AV15^2+AV16^2+AV17^2+AV18^2+AV19^2+AV20^2+AV22^2+AV23^2+AV24^2+AV25^2+AV26^2+AV27^2+AV28^2+AV30^2+AV31^2+AV32^2+AV33^2+AV34^2+AV35^2+AV36^2)</f>
        <v>#REF!</v>
      </c>
      <c r="AW37" s="308">
        <f>SUM(AW14:AW36)</f>
        <v>21581.064498289787</v>
      </c>
      <c r="AX37" s="891" t="e">
        <f>SQRT(AX14^2+AX15^2+AX16^2+AX17^2+AX18^2+AX19^2+AX20^2+AX22^2+AX23^2+AX24^2+AX25^2+AX26^2+AX27^2+AX28^2+AX30^2+AX31^2+AX32^2+AX33^2+AX34^2+AX35^2+AX36^2)</f>
        <v>#REF!</v>
      </c>
      <c r="AY37" s="309">
        <f>AW37/AU37</f>
        <v>0.69779383098994008</v>
      </c>
      <c r="AZ37" s="896" t="e">
        <f>AY37*SQRT(IF(AU37&gt;0,(AV37/AU37)^2,0)+IF(AW37&gt;0,(AX37/AW37)^2,0))</f>
        <v>#REF!</v>
      </c>
      <c r="BE37" s="1792" t="s">
        <v>533</v>
      </c>
      <c r="BF37" s="1793"/>
      <c r="BG37" s="1793"/>
      <c r="BH37" s="1793"/>
      <c r="BI37" s="1793"/>
      <c r="BJ37" s="1793"/>
      <c r="BK37" s="1794"/>
      <c r="BL37" s="784">
        <f>SUMPRODUCT($BK$14:$BK$36,BL14:BL36)</f>
        <v>76001.203177447489</v>
      </c>
      <c r="BM37" s="784">
        <f t="shared" ref="BM37:BR37" si="60">SUMPRODUCT($BK$14:$BK$36,BM14:BM36)</f>
        <v>78.695981003491937</v>
      </c>
      <c r="BN37" s="784">
        <f t="shared" si="60"/>
        <v>75853.443335401884</v>
      </c>
      <c r="BO37" s="784">
        <f t="shared" si="60"/>
        <v>45134.310438094741</v>
      </c>
      <c r="BP37" s="784" t="e">
        <f t="shared" si="60"/>
        <v>#REF!</v>
      </c>
      <c r="BQ37" s="784">
        <f t="shared" si="60"/>
        <v>44925.877713800794</v>
      </c>
      <c r="BR37" s="784">
        <f t="shared" si="60"/>
        <v>30927.565621601083</v>
      </c>
      <c r="BS37" s="643"/>
      <c r="BU37" s="1795" t="s">
        <v>541</v>
      </c>
      <c r="BV37" s="1796"/>
      <c r="BW37" s="1796"/>
      <c r="BX37" s="1796"/>
      <c r="BY37" s="1796"/>
      <c r="BZ37" s="1796"/>
      <c r="CA37" s="1796"/>
      <c r="CB37" s="1796"/>
      <c r="CC37" s="1796"/>
      <c r="CD37" s="1797"/>
      <c r="CE37" s="787">
        <f>SUM(CE14:CE36)</f>
        <v>30927.565621601083</v>
      </c>
      <c r="CF37" s="788">
        <f>SUM(CF14:CF36)</f>
        <v>21581.064498289787</v>
      </c>
    </row>
    <row r="38" spans="2:84" ht="15" thickBot="1">
      <c r="BE38" s="643"/>
      <c r="BF38" s="643"/>
      <c r="BG38" s="643"/>
      <c r="BH38" s="643"/>
      <c r="BI38" s="643"/>
      <c r="BJ38" s="331"/>
      <c r="BK38" s="786"/>
      <c r="BL38" s="643"/>
      <c r="BM38" s="643"/>
      <c r="BN38" s="643"/>
      <c r="BO38" s="643"/>
      <c r="BP38" s="643"/>
      <c r="BQ38" s="643"/>
      <c r="BR38" s="643"/>
      <c r="BS38" s="643"/>
      <c r="BU38" s="1795" t="s">
        <v>542</v>
      </c>
      <c r="BV38" s="1796"/>
      <c r="BW38" s="1796"/>
      <c r="BX38" s="1796"/>
      <c r="BY38" s="1796"/>
      <c r="BZ38" s="1796"/>
      <c r="CA38" s="1796"/>
      <c r="CB38" s="1796"/>
      <c r="CC38" s="1796"/>
      <c r="CD38" s="1797"/>
      <c r="CE38" s="1798">
        <f>CF37/CE37</f>
        <v>0.69779383098994008</v>
      </c>
      <c r="CF38" s="1799"/>
    </row>
    <row r="39" spans="2:84">
      <c r="AT39" s="450" t="s">
        <v>278</v>
      </c>
      <c r="AU39" s="451" t="e">
        <f>AV37*AU43</f>
        <v>#REF!</v>
      </c>
      <c r="AV39" s="450" t="s">
        <v>278</v>
      </c>
      <c r="AW39" s="451" t="e">
        <f>AX37*AW43</f>
        <v>#REF!</v>
      </c>
      <c r="AX39" s="450" t="s">
        <v>278</v>
      </c>
      <c r="AY39" s="421" t="e">
        <f>AZ37*AY43</f>
        <v>#REF!</v>
      </c>
      <c r="BA39" s="450"/>
    </row>
    <row r="40" spans="2:84">
      <c r="AT40" s="11" t="s">
        <v>279</v>
      </c>
      <c r="AU40" s="452" t="e">
        <f>AU37-AU39</f>
        <v>#REF!</v>
      </c>
      <c r="AV40" s="11" t="s">
        <v>279</v>
      </c>
      <c r="AW40" s="452" t="e">
        <f>AW37-AW39</f>
        <v>#REF!</v>
      </c>
      <c r="AX40" s="11" t="s">
        <v>279</v>
      </c>
      <c r="AY40" s="418" t="e">
        <f>AY37-AY39</f>
        <v>#REF!</v>
      </c>
      <c r="BA40" s="421"/>
    </row>
    <row r="41" spans="2:84">
      <c r="O41" s="123">
        <v>657.08220240403261</v>
      </c>
      <c r="AT41" s="11" t="s">
        <v>280</v>
      </c>
      <c r="AU41" s="452" t="e">
        <f>AU37+AU39</f>
        <v>#REF!</v>
      </c>
      <c r="AV41" s="11" t="s">
        <v>280</v>
      </c>
      <c r="AW41" s="452" t="e">
        <f>AW37+AW39</f>
        <v>#REF!</v>
      </c>
      <c r="AX41" s="11" t="s">
        <v>280</v>
      </c>
      <c r="AY41" s="418" t="e">
        <f>AY37+AY39</f>
        <v>#REF!</v>
      </c>
    </row>
    <row r="42" spans="2:84">
      <c r="AT42" s="432" t="s">
        <v>286</v>
      </c>
      <c r="AU42" s="421" t="e">
        <f>AU39/AU37</f>
        <v>#REF!</v>
      </c>
      <c r="AW42" s="421" t="e">
        <f>AW39/AW37</f>
        <v>#REF!</v>
      </c>
      <c r="AY42" s="421" t="e">
        <f>AY39/AY37</f>
        <v>#REF!</v>
      </c>
    </row>
    <row r="43" spans="2:84">
      <c r="AU43" s="11">
        <f>TINV(0.1,AU45)</f>
        <v>1.652005155546155</v>
      </c>
      <c r="AW43" s="11">
        <f>TINV(0.1,AU45)</f>
        <v>1.652005155546155</v>
      </c>
      <c r="AY43" s="11">
        <f>TINV(0.1,AY45)</f>
        <v>1.7530503556925723</v>
      </c>
    </row>
    <row r="44" spans="2:84">
      <c r="D44" s="42"/>
      <c r="E44" s="42"/>
    </row>
    <row r="45" spans="2:84">
      <c r="AT45" s="138" t="s">
        <v>281</v>
      </c>
      <c r="AU45" s="11">
        <v>214</v>
      </c>
      <c r="AY45" s="11">
        <v>15</v>
      </c>
    </row>
    <row r="59" spans="47:52" ht="15" thickBot="1"/>
    <row r="60" spans="47:52" ht="39.6" thickBot="1">
      <c r="AU60" s="465" t="s">
        <v>0</v>
      </c>
      <c r="AV60" s="466" t="s">
        <v>287</v>
      </c>
      <c r="AW60" s="466" t="s">
        <v>288</v>
      </c>
      <c r="AX60" s="466" t="s">
        <v>120</v>
      </c>
    </row>
    <row r="61" spans="47:52" ht="15" thickBot="1">
      <c r="AU61" s="1800" t="s">
        <v>290</v>
      </c>
      <c r="AV61" s="1801"/>
      <c r="AW61" s="1801"/>
      <c r="AX61" s="1801"/>
    </row>
    <row r="62" spans="47:52">
      <c r="AU62" s="479" t="s">
        <v>256</v>
      </c>
      <c r="AV62" s="468">
        <v>502.89861322325117</v>
      </c>
      <c r="AW62" s="470">
        <v>262.64257569457857</v>
      </c>
      <c r="AX62" s="471">
        <v>0.52225750636139445</v>
      </c>
    </row>
    <row r="63" spans="47:52">
      <c r="AU63" s="480" t="s">
        <v>18</v>
      </c>
      <c r="AV63" s="434">
        <v>534.953236698365</v>
      </c>
      <c r="AW63" s="436">
        <v>329.75850497007212</v>
      </c>
      <c r="AX63" s="437">
        <v>0.61642491782138231</v>
      </c>
      <c r="AY63" s="186">
        <f>AU37-AV63</f>
        <v>30392.612384902717</v>
      </c>
      <c r="AZ63" s="186">
        <f>AW37-AW63</f>
        <v>21251.305993319715</v>
      </c>
    </row>
    <row r="64" spans="47:52" ht="15" thickBot="1">
      <c r="AU64" s="481" t="s">
        <v>257</v>
      </c>
      <c r="AV64" s="439">
        <v>354.39138547335477</v>
      </c>
      <c r="AW64" s="441">
        <v>214.20202145754766</v>
      </c>
      <c r="AX64" s="442">
        <v>0.60442220166114236</v>
      </c>
    </row>
    <row r="65" spans="47:50" ht="15" thickBot="1">
      <c r="AU65" s="1800" t="s">
        <v>289</v>
      </c>
      <c r="AV65" s="1801"/>
      <c r="AW65" s="1801"/>
      <c r="AX65" s="1801"/>
    </row>
    <row r="66" spans="47:50" ht="15" thickBot="1">
      <c r="AU66" s="481" t="s">
        <v>291</v>
      </c>
      <c r="AV66" s="439">
        <v>780.78678748760274</v>
      </c>
      <c r="AW66" s="441">
        <v>546.17724410241294</v>
      </c>
      <c r="AX66" s="442">
        <v>0.69952162722923261</v>
      </c>
    </row>
  </sheetData>
  <customSheetViews>
    <customSheetView guid="{7E8F70E7-08A0-442B-A100-F92E13F1F337}" scale="85" topLeftCell="BO15">
      <selection activeCell="CE37" sqref="CE37:CF38"/>
      <pageMargins left="0.7" right="0.7" top="0.75" bottom="0.75" header="0.3" footer="0.3"/>
      <pageSetup orientation="portrait" r:id="rId1"/>
    </customSheetView>
    <customSheetView guid="{223C1DCA-941C-47FC-83AC-426B3DB3086A}">
      <selection activeCell="J8" sqref="J8"/>
      <pageMargins left="0.7" right="0.7" top="0.75" bottom="0.75" header="0.3" footer="0.3"/>
      <pageSetup orientation="portrait" r:id="rId2"/>
    </customSheetView>
    <customSheetView guid="{BA0BA4AB-C6A1-41FF-8782-C05227E92BEB}" topLeftCell="V4">
      <selection activeCell="W14" sqref="W14"/>
      <pageMargins left="0.7" right="0.7" top="0.75" bottom="0.75" header="0.3" footer="0.3"/>
      <pageSetup orientation="portrait" r:id="rId3"/>
    </customSheetView>
    <customSheetView guid="{52F27401-6741-4136-9223-9843499AE81D}" scale="85" topLeftCell="BC9">
      <selection activeCell="BR37" sqref="BE12:BR37"/>
      <pageMargins left="0.7" right="0.7" top="0.75" bottom="0.75" header="0.3" footer="0.3"/>
      <pageSetup orientation="portrait" r:id="rId4"/>
    </customSheetView>
  </customSheetViews>
  <mergeCells count="106">
    <mergeCell ref="Y35:AA35"/>
    <mergeCell ref="X36:AA36"/>
    <mergeCell ref="X26:X32"/>
    <mergeCell ref="Y26:Y29"/>
    <mergeCell ref="Y30:Y32"/>
    <mergeCell ref="N17:N21"/>
    <mergeCell ref="M17:M21"/>
    <mergeCell ref="T12:U12"/>
    <mergeCell ref="P20:P21"/>
    <mergeCell ref="Q20:Q21"/>
    <mergeCell ref="S17:S21"/>
    <mergeCell ref="W26:W36"/>
    <mergeCell ref="X33:X35"/>
    <mergeCell ref="X22:X25"/>
    <mergeCell ref="Z5:AA5"/>
    <mergeCell ref="Z28:Z29"/>
    <mergeCell ref="Z26:AA26"/>
    <mergeCell ref="Z27:AA27"/>
    <mergeCell ref="V14:AA14"/>
    <mergeCell ref="V15:AA15"/>
    <mergeCell ref="V16:AA16"/>
    <mergeCell ref="Y22:AA22"/>
    <mergeCell ref="Y23:AA23"/>
    <mergeCell ref="Y24:AA24"/>
    <mergeCell ref="Y25:AA25"/>
    <mergeCell ref="V12:AA12"/>
    <mergeCell ref="V17:V36"/>
    <mergeCell ref="W17:W25"/>
    <mergeCell ref="X17:X21"/>
    <mergeCell ref="Y20:Z21"/>
    <mergeCell ref="Y17:AA17"/>
    <mergeCell ref="Y18:AA18"/>
    <mergeCell ref="Y19:AA19"/>
    <mergeCell ref="Z30:AA30"/>
    <mergeCell ref="Z31:AA31"/>
    <mergeCell ref="Z32:AA32"/>
    <mergeCell ref="Y33:AA33"/>
    <mergeCell ref="Y34:AA34"/>
    <mergeCell ref="BE12:BJ13"/>
    <mergeCell ref="BE14:BJ14"/>
    <mergeCell ref="BE15:BJ15"/>
    <mergeCell ref="BE16:BJ16"/>
    <mergeCell ref="BE17:BE36"/>
    <mergeCell ref="BF17:BF25"/>
    <mergeCell ref="BG17:BG21"/>
    <mergeCell ref="BH17:BJ17"/>
    <mergeCell ref="BH18:BJ18"/>
    <mergeCell ref="BH19:BJ19"/>
    <mergeCell ref="BH20:BI21"/>
    <mergeCell ref="BG22:BG25"/>
    <mergeCell ref="BH22:BJ22"/>
    <mergeCell ref="BH23:BJ23"/>
    <mergeCell ref="BH24:BJ24"/>
    <mergeCell ref="BH25:BJ25"/>
    <mergeCell ref="BE37:BK37"/>
    <mergeCell ref="CE38:CF38"/>
    <mergeCell ref="BF26:BF36"/>
    <mergeCell ref="BG26:BG32"/>
    <mergeCell ref="BH26:BH29"/>
    <mergeCell ref="BI26:BJ26"/>
    <mergeCell ref="BI27:BJ27"/>
    <mergeCell ref="BI28:BI29"/>
    <mergeCell ref="BH30:BH32"/>
    <mergeCell ref="BI30:BJ30"/>
    <mergeCell ref="BI31:BJ31"/>
    <mergeCell ref="BI32:BJ32"/>
    <mergeCell ref="BG33:BG35"/>
    <mergeCell ref="BH33:BJ33"/>
    <mergeCell ref="BH34:BJ34"/>
    <mergeCell ref="BH35:BJ35"/>
    <mergeCell ref="BG36:BJ36"/>
    <mergeCell ref="BU37:CD37"/>
    <mergeCell ref="BU38:CD38"/>
    <mergeCell ref="BX18:BZ18"/>
    <mergeCell ref="BX19:BZ19"/>
    <mergeCell ref="BX20:BY21"/>
    <mergeCell ref="BW22:BW25"/>
    <mergeCell ref="BX22:BZ22"/>
    <mergeCell ref="BX23:BZ23"/>
    <mergeCell ref="BX24:BZ24"/>
    <mergeCell ref="BX25:BZ25"/>
    <mergeCell ref="BV26:BV36"/>
    <mergeCell ref="AU61:AX61"/>
    <mergeCell ref="AU65:AX65"/>
    <mergeCell ref="BU12:BZ13"/>
    <mergeCell ref="BW33:BW35"/>
    <mergeCell ref="BX33:BZ33"/>
    <mergeCell ref="BX34:BZ34"/>
    <mergeCell ref="BX35:BZ35"/>
    <mergeCell ref="BW36:BZ36"/>
    <mergeCell ref="BW26:BW32"/>
    <mergeCell ref="BX26:BX29"/>
    <mergeCell ref="BY26:BZ26"/>
    <mergeCell ref="BY27:BZ27"/>
    <mergeCell ref="BY28:BY29"/>
    <mergeCell ref="BX30:BX32"/>
    <mergeCell ref="BY30:BZ30"/>
    <mergeCell ref="BY31:BZ31"/>
    <mergeCell ref="BY32:BZ32"/>
    <mergeCell ref="BU14:BZ14"/>
    <mergeCell ref="BU15:BZ15"/>
    <mergeCell ref="BU16:BZ16"/>
    <mergeCell ref="BU17:BU36"/>
    <mergeCell ref="BV17:BV25"/>
    <mergeCell ref="BW17:BW21"/>
    <mergeCell ref="BX17:BZ17"/>
  </mergeCells>
  <pageMargins left="0.7" right="0.7" top="0.75" bottom="0.75" header="0.3" footer="0.3"/>
  <pageSetup orientation="portrait" r:id="rId5"/>
  <legacyDrawing r:id="rId6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2:CF56"/>
  <sheetViews>
    <sheetView topLeftCell="Y13" zoomScale="85" zoomScaleNormal="85" workbookViewId="0">
      <selection activeCell="AJ28" sqref="AJ28"/>
    </sheetView>
  </sheetViews>
  <sheetFormatPr defaultColWidth="9.109375" defaultRowHeight="14.4" outlineLevelRow="1" outlineLevelCol="1"/>
  <cols>
    <col min="1" max="1" width="9.109375" style="643"/>
    <col min="2" max="2" width="9.109375" style="11"/>
    <col min="3" max="3" width="7.6640625" style="11" customWidth="1"/>
    <col min="4" max="4" width="7.109375" style="11" customWidth="1" outlineLevel="1"/>
    <col min="5" max="5" width="15.33203125" style="11" customWidth="1"/>
    <col min="6" max="6" width="7.44140625" style="11" customWidth="1"/>
    <col min="7" max="7" width="7.88671875" style="11" customWidth="1" outlineLevel="1"/>
    <col min="8" max="8" width="19" style="11" customWidth="1"/>
    <col min="9" max="9" width="19.88671875" style="11" customWidth="1"/>
    <col min="10" max="10" width="8.109375" style="11" customWidth="1"/>
    <col min="11" max="11" width="8.5546875" style="11" customWidth="1" outlineLevel="1"/>
    <col min="12" max="12" width="12.33203125" style="11" customWidth="1"/>
    <col min="13" max="13" width="12.5546875" style="11" customWidth="1"/>
    <col min="14" max="14" width="9.109375" style="11" customWidth="1"/>
    <col min="15" max="15" width="9.6640625" style="11" customWidth="1" outlineLevel="1"/>
    <col min="16" max="16" width="41.44140625" style="11" customWidth="1"/>
    <col min="17" max="17" width="7.5546875" style="11" customWidth="1"/>
    <col min="18" max="18" width="8.44140625" style="11" customWidth="1" outlineLevel="1"/>
    <col min="19" max="19" width="16.44140625" style="11" customWidth="1"/>
    <col min="20" max="21" width="16.44140625" style="643" customWidth="1"/>
    <col min="22" max="25" width="16.44140625" style="11" customWidth="1"/>
    <col min="26" max="26" width="18.6640625" style="11" customWidth="1"/>
    <col min="27" max="27" width="19" style="643" customWidth="1"/>
    <col min="28" max="28" width="9.6640625" style="11" customWidth="1"/>
    <col min="29" max="29" width="8.33203125" style="11" customWidth="1" outlineLevel="1"/>
    <col min="30" max="30" width="11.33203125" style="11" customWidth="1"/>
    <col min="31" max="31" width="9.33203125" style="11" customWidth="1" outlineLevel="1"/>
    <col min="32" max="32" width="8.109375" style="11" customWidth="1"/>
    <col min="33" max="33" width="8" style="11" customWidth="1" outlineLevel="1"/>
    <col min="34" max="34" width="10.33203125" style="11" customWidth="1"/>
    <col min="35" max="35" width="10.109375" style="11" customWidth="1" outlineLevel="1"/>
    <col min="36" max="36" width="10.109375" style="11" customWidth="1"/>
    <col min="37" max="37" width="7.6640625" style="11" customWidth="1" outlineLevel="1"/>
    <col min="38" max="38" width="9.44140625" style="11" customWidth="1"/>
    <col min="39" max="39" width="7.6640625" style="11" customWidth="1" outlineLevel="1"/>
    <col min="40" max="40" width="9" style="11" customWidth="1"/>
    <col min="41" max="41" width="7.6640625" style="11" customWidth="1" outlineLevel="1"/>
    <col min="42" max="42" width="4.109375" style="11" bestFit="1" customWidth="1"/>
    <col min="43" max="43" width="12.109375" style="11" customWidth="1" outlineLevel="1"/>
    <col min="44" max="44" width="4.6640625" style="11" bestFit="1" customWidth="1"/>
    <col min="45" max="45" width="4.109375" style="11" bestFit="1" customWidth="1"/>
    <col min="46" max="46" width="27.5546875" style="11" customWidth="1" outlineLevel="1"/>
    <col min="47" max="47" width="12.33203125" style="11" bestFit="1" customWidth="1"/>
    <col min="48" max="48" width="9.6640625" style="11" customWidth="1" outlineLevel="1"/>
    <col min="49" max="49" width="12.33203125" style="11" bestFit="1" customWidth="1"/>
    <col min="50" max="50" width="9.6640625" style="11" customWidth="1" outlineLevel="1"/>
    <col min="51" max="51" width="12.33203125" style="11" bestFit="1" customWidth="1"/>
    <col min="52" max="52" width="6.44140625" style="11" bestFit="1" customWidth="1"/>
    <col min="53" max="55" width="9.109375" style="11" hidden="1" customWidth="1"/>
    <col min="56" max="61" width="9.109375" style="11"/>
    <col min="62" max="62" width="20.6640625" style="11" customWidth="1"/>
    <col min="63" max="72" width="9.109375" style="11"/>
    <col min="73" max="73" width="6.5546875" style="11" customWidth="1"/>
    <col min="74" max="74" width="5.33203125" style="11" customWidth="1"/>
    <col min="75" max="75" width="6.44140625" style="11" customWidth="1"/>
    <col min="76" max="76" width="9.109375" style="11"/>
    <col min="77" max="77" width="12.88671875" style="11" customWidth="1"/>
    <col min="78" max="78" width="18" style="11" customWidth="1"/>
    <col min="79" max="16384" width="9.109375" style="11"/>
  </cols>
  <sheetData>
    <row r="2" spans="2:84" ht="15" thickBot="1">
      <c r="C2" s="11" t="s">
        <v>63</v>
      </c>
    </row>
    <row r="3" spans="2:84" ht="15" thickBot="1">
      <c r="C3" s="43"/>
      <c r="D3" s="11" t="s">
        <v>66</v>
      </c>
      <c r="E3" s="11" t="s">
        <v>66</v>
      </c>
      <c r="AJ3" s="643"/>
    </row>
    <row r="4" spans="2:84" ht="15.75" customHeight="1" thickBot="1">
      <c r="C4" s="44"/>
      <c r="D4" s="11" t="s">
        <v>69</v>
      </c>
      <c r="E4" s="11" t="s">
        <v>69</v>
      </c>
      <c r="Z4" s="486" t="s">
        <v>298</v>
      </c>
      <c r="AA4" s="486"/>
      <c r="AB4" s="486" t="s">
        <v>294</v>
      </c>
      <c r="AC4" s="488" t="s">
        <v>293</v>
      </c>
    </row>
    <row r="5" spans="2:84" ht="15" customHeight="1" thickBot="1">
      <c r="C5" s="45"/>
      <c r="D5" s="11" t="s">
        <v>70</v>
      </c>
      <c r="E5" s="11" t="s">
        <v>70</v>
      </c>
      <c r="Z5" s="485" t="s">
        <v>198</v>
      </c>
      <c r="AA5" s="485"/>
      <c r="AB5" s="487">
        <f>'Gross UECs'!D5</f>
        <v>853</v>
      </c>
      <c r="AC5" s="489">
        <f>'Gross UECs'!I5</f>
        <v>75.656474204663084</v>
      </c>
    </row>
    <row r="6" spans="2:84" ht="15" thickBot="1">
      <c r="C6" s="46"/>
      <c r="D6" s="47" t="s">
        <v>71</v>
      </c>
      <c r="E6" s="47" t="s">
        <v>71</v>
      </c>
      <c r="Z6" s="485" t="s">
        <v>211</v>
      </c>
      <c r="AA6" s="485"/>
      <c r="AB6" s="487">
        <f>'Gross UECs'!D16</f>
        <v>724</v>
      </c>
      <c r="AC6" s="489">
        <f>'Gross UECs'!I27</f>
        <v>120</v>
      </c>
    </row>
    <row r="7" spans="2:84" ht="15" customHeight="1">
      <c r="H7" s="394"/>
      <c r="Z7" s="485" t="s">
        <v>212</v>
      </c>
      <c r="AA7" s="485"/>
      <c r="AB7" s="487">
        <f>'Gross UECs'!D27</f>
        <v>660</v>
      </c>
      <c r="AC7" s="489">
        <f>'Gross UECs'!I16</f>
        <v>92</v>
      </c>
    </row>
    <row r="8" spans="2:84">
      <c r="H8" s="333"/>
      <c r="J8" s="333"/>
      <c r="K8" s="334"/>
      <c r="L8" s="333"/>
      <c r="M8" s="334"/>
      <c r="N8" s="333"/>
      <c r="O8" s="333"/>
      <c r="P8" s="333"/>
      <c r="Z8" s="485" t="s">
        <v>240</v>
      </c>
      <c r="AA8" s="485"/>
      <c r="AB8" s="655">
        <f>452</f>
        <v>452</v>
      </c>
      <c r="AC8" s="489">
        <v>0</v>
      </c>
      <c r="AD8" s="643" t="s">
        <v>411</v>
      </c>
    </row>
    <row r="9" spans="2:84">
      <c r="Q9" s="138"/>
      <c r="Z9" s="138"/>
      <c r="AA9" s="138"/>
      <c r="AB9" s="526"/>
      <c r="BE9" s="643"/>
      <c r="BF9" s="643"/>
      <c r="BG9" s="643"/>
      <c r="BH9" s="643"/>
      <c r="BI9" s="643" t="s">
        <v>535</v>
      </c>
      <c r="BJ9" s="331"/>
      <c r="BK9" s="643"/>
      <c r="BL9" s="643"/>
      <c r="BM9" s="643"/>
      <c r="BN9" s="643"/>
      <c r="BO9" s="643"/>
      <c r="BP9" s="643"/>
      <c r="BQ9" s="643"/>
      <c r="BR9" s="643"/>
      <c r="BS9" s="643"/>
      <c r="BU9" s="643"/>
      <c r="BV9" s="643"/>
      <c r="BW9" s="643" t="s">
        <v>545</v>
      </c>
      <c r="BX9" s="643"/>
      <c r="BY9" s="643"/>
      <c r="BZ9" s="643"/>
      <c r="CA9" s="643"/>
      <c r="CB9" s="643"/>
      <c r="CC9" s="643"/>
      <c r="CD9" s="643"/>
      <c r="CE9" s="643"/>
      <c r="CF9" s="643"/>
    </row>
    <row r="10" spans="2:84">
      <c r="Q10" s="138"/>
      <c r="BE10" s="643" t="s">
        <v>517</v>
      </c>
      <c r="BF10" s="643"/>
      <c r="BG10" s="643"/>
      <c r="BH10" s="643"/>
      <c r="BI10" s="643"/>
      <c r="BJ10" s="331"/>
      <c r="BK10" s="643"/>
      <c r="BL10" s="643"/>
      <c r="BM10" s="643"/>
      <c r="BN10" s="643"/>
      <c r="BO10" s="643"/>
      <c r="BP10" s="643"/>
      <c r="BQ10" s="643"/>
      <c r="BR10" s="643"/>
      <c r="BS10" s="643"/>
      <c r="BU10" s="643" t="s">
        <v>518</v>
      </c>
      <c r="BV10" s="643"/>
      <c r="BW10" s="643"/>
      <c r="BX10" s="643"/>
      <c r="BY10" s="643"/>
      <c r="BZ10" s="643"/>
      <c r="CA10" s="643"/>
      <c r="CB10" s="643"/>
      <c r="CC10" s="643"/>
      <c r="CD10" s="643"/>
      <c r="CE10" s="643"/>
      <c r="CF10" s="643"/>
    </row>
    <row r="11" spans="2:84" ht="15" thickBot="1">
      <c r="BE11" s="643"/>
      <c r="BF11" s="643"/>
      <c r="BG11" s="643"/>
      <c r="BH11" s="643"/>
      <c r="BI11" s="643"/>
      <c r="BJ11" s="331"/>
      <c r="BK11" s="643"/>
      <c r="BL11" s="643"/>
      <c r="BM11" s="643"/>
      <c r="BN11" s="643"/>
      <c r="BO11" s="643"/>
      <c r="BP11" s="643"/>
      <c r="BQ11" s="643"/>
      <c r="BR11" s="643"/>
      <c r="BS11" s="643"/>
      <c r="BU11" s="643"/>
      <c r="BV11" s="643"/>
      <c r="BW11" s="643"/>
      <c r="BX11" s="643"/>
      <c r="BY11" s="643"/>
      <c r="BZ11" s="643"/>
      <c r="CA11" s="643"/>
      <c r="CB11" s="643"/>
      <c r="CC11" s="643"/>
      <c r="CD11" s="643"/>
      <c r="CE11" s="643"/>
      <c r="CF11" s="643"/>
    </row>
    <row r="12" spans="2:84" s="331" customFormat="1" ht="139.94999999999999" customHeight="1" thickBot="1">
      <c r="B12" s="224" t="s">
        <v>220</v>
      </c>
      <c r="C12" s="330" t="s">
        <v>221</v>
      </c>
      <c r="D12" s="223" t="str">
        <f>"SE of "&amp;C12</f>
        <v>SE of Proportions</v>
      </c>
      <c r="E12" s="224" t="s">
        <v>222</v>
      </c>
      <c r="F12" s="330" t="s">
        <v>221</v>
      </c>
      <c r="G12" s="223" t="str">
        <f>"SE of "&amp;F12</f>
        <v>SE of Proportions</v>
      </c>
      <c r="H12" s="331" t="s">
        <v>63</v>
      </c>
      <c r="I12" s="332"/>
      <c r="J12" s="330" t="s">
        <v>221</v>
      </c>
      <c r="K12" s="223" t="str">
        <f>"SE of "&amp;J12</f>
        <v>SE of Proportions</v>
      </c>
      <c r="L12" s="332" t="s">
        <v>63</v>
      </c>
      <c r="M12" s="224" t="s">
        <v>227</v>
      </c>
      <c r="N12" s="330" t="s">
        <v>221</v>
      </c>
      <c r="O12" s="223" t="str">
        <f>"SE of "&amp;N12</f>
        <v>SE of Proportions</v>
      </c>
      <c r="P12" s="263" t="s">
        <v>52</v>
      </c>
      <c r="Q12" s="224" t="s">
        <v>226</v>
      </c>
      <c r="R12" s="223" t="str">
        <f>"SE of "&amp;Q12</f>
        <v>SE of P2P Coincidence Factor</v>
      </c>
      <c r="S12" s="331" t="s">
        <v>63</v>
      </c>
      <c r="V12" s="1756" t="s">
        <v>331</v>
      </c>
      <c r="W12" s="1756"/>
      <c r="X12" s="1756"/>
      <c r="Y12" s="1756"/>
      <c r="Z12" s="1756"/>
      <c r="AA12" s="1757"/>
      <c r="AB12" s="114" t="s">
        <v>113</v>
      </c>
      <c r="AC12" s="223" t="str">
        <f>"SE of "&amp;AB12</f>
        <v>SE of Proportion of program units in this path</v>
      </c>
      <c r="AD12" s="114" t="s">
        <v>115</v>
      </c>
      <c r="AE12" s="294" t="str">
        <f>"SE of "&amp;AD12</f>
        <v>SE of Gross Full Year Consumption</v>
      </c>
      <c r="AF12" s="114" t="s">
        <v>102</v>
      </c>
      <c r="AG12" s="294" t="str">
        <f>"SE of "&amp;AF12</f>
        <v>SE of  Baseline Usage factor</v>
      </c>
      <c r="AH12" s="114" t="s">
        <v>125</v>
      </c>
      <c r="AI12" s="294" t="str">
        <f>"SE of "&amp;AH12</f>
        <v>SE of Gross Baseline UEC (Part use adjusted)</v>
      </c>
      <c r="AJ12" s="114" t="s">
        <v>99</v>
      </c>
      <c r="AK12" s="294" t="str">
        <f>"SE of "&amp;AJ12</f>
        <v>SE of Program Alternative Full Year Consumption</v>
      </c>
      <c r="AL12" s="114" t="s">
        <v>129</v>
      </c>
      <c r="AM12" s="294" t="str">
        <f>"SE of "&amp;AL12</f>
        <v>SE of Usage Factor on the grid with the Program</v>
      </c>
      <c r="AN12" s="114" t="s">
        <v>126</v>
      </c>
      <c r="AO12" s="294" t="str">
        <f>"SE of "&amp;AN12</f>
        <v>SE of Gross UEC with Program (part use adjusted)</v>
      </c>
      <c r="AP12" s="401" t="s">
        <v>112</v>
      </c>
      <c r="AQ12" s="294" t="str">
        <f>"SE of "&amp;AP12</f>
        <v>SE of Gross Unit Energy Savings</v>
      </c>
      <c r="AR12" s="114" t="s">
        <v>124</v>
      </c>
      <c r="AS12" s="401" t="s">
        <v>128</v>
      </c>
      <c r="AT12" s="294" t="str">
        <f>"SE of "&amp;AS12</f>
        <v>SE of Net Savings</v>
      </c>
      <c r="AU12" s="401" t="s">
        <v>243</v>
      </c>
      <c r="AV12" s="294" t="str">
        <f>"SE of "&amp;AU12</f>
        <v>SE of Aggregate Gross Unit Savings</v>
      </c>
      <c r="AW12" s="401" t="s">
        <v>242</v>
      </c>
      <c r="AX12" s="294" t="str">
        <f>"SE of "&amp;AW12</f>
        <v>SE of Aggregate Net Unit Savings</v>
      </c>
      <c r="AY12" s="114" t="s">
        <v>120</v>
      </c>
      <c r="AZ12" s="223" t="str">
        <f>"SE of "&amp;AY12</f>
        <v>SE of NTG Ratio</v>
      </c>
      <c r="BE12" s="1804" t="s">
        <v>519</v>
      </c>
      <c r="BF12" s="1804"/>
      <c r="BG12" s="1804"/>
      <c r="BH12" s="1804"/>
      <c r="BI12" s="1804"/>
      <c r="BJ12" s="1805"/>
      <c r="BK12" s="770" t="s">
        <v>528</v>
      </c>
      <c r="BL12" s="771" t="s">
        <v>513</v>
      </c>
      <c r="BM12" s="771" t="s">
        <v>514</v>
      </c>
      <c r="BN12" s="769" t="s">
        <v>529</v>
      </c>
      <c r="BO12" s="771" t="s">
        <v>515</v>
      </c>
      <c r="BP12" s="769" t="s">
        <v>530</v>
      </c>
      <c r="BQ12" s="771" t="s">
        <v>516</v>
      </c>
      <c r="BR12" s="769" t="s">
        <v>531</v>
      </c>
      <c r="BU12" s="1804" t="s">
        <v>519</v>
      </c>
      <c r="BV12" s="1804"/>
      <c r="BW12" s="1804"/>
      <c r="BX12" s="1804"/>
      <c r="BY12" s="1804"/>
      <c r="BZ12" s="1805"/>
      <c r="CA12" s="779" t="s">
        <v>113</v>
      </c>
      <c r="CB12" s="780" t="s">
        <v>112</v>
      </c>
      <c r="CC12" s="780" t="s">
        <v>124</v>
      </c>
      <c r="CD12" s="780" t="s">
        <v>128</v>
      </c>
      <c r="CE12" s="780" t="s">
        <v>536</v>
      </c>
      <c r="CF12" s="780" t="s">
        <v>537</v>
      </c>
    </row>
    <row r="13" spans="2:84" s="334" customFormat="1" ht="43.5" customHeight="1" outlineLevel="1" thickBot="1">
      <c r="D13" s="134"/>
      <c r="G13" s="134"/>
      <c r="I13" s="134"/>
      <c r="L13" s="134"/>
      <c r="M13" s="134"/>
      <c r="O13" s="134"/>
      <c r="R13" s="135" t="s">
        <v>123</v>
      </c>
      <c r="S13" s="136" t="s">
        <v>151</v>
      </c>
      <c r="T13" s="136"/>
      <c r="U13" s="136"/>
      <c r="V13" s="643"/>
      <c r="W13" s="643"/>
      <c r="X13" s="643"/>
      <c r="Y13" s="643"/>
      <c r="Z13" s="643"/>
      <c r="AA13" s="643"/>
      <c r="AB13" s="136" t="s">
        <v>118</v>
      </c>
      <c r="AC13" s="136"/>
      <c r="AD13" s="136" t="s">
        <v>119</v>
      </c>
      <c r="AE13" s="136"/>
      <c r="AF13" s="137" t="s">
        <v>117</v>
      </c>
      <c r="AG13" s="137"/>
      <c r="AH13" s="137" t="s">
        <v>122</v>
      </c>
      <c r="AI13" s="137"/>
      <c r="AJ13" s="137" t="s">
        <v>150</v>
      </c>
      <c r="AK13" s="137"/>
      <c r="AL13" s="139" t="s">
        <v>127</v>
      </c>
      <c r="AM13" s="139"/>
      <c r="AN13" s="139" t="s">
        <v>121</v>
      </c>
      <c r="AO13" s="139" t="s">
        <v>148</v>
      </c>
      <c r="AP13" s="139"/>
      <c r="AQ13" s="137" t="s">
        <v>149</v>
      </c>
      <c r="AR13" s="137"/>
      <c r="AS13" s="335"/>
      <c r="BE13" s="1560"/>
      <c r="BF13" s="1560"/>
      <c r="BG13" s="1560"/>
      <c r="BH13" s="1560"/>
      <c r="BI13" s="1560"/>
      <c r="BJ13" s="1637"/>
      <c r="BK13" s="777" t="s">
        <v>520</v>
      </c>
      <c r="BL13" s="778" t="s">
        <v>521</v>
      </c>
      <c r="BM13" s="778" t="s">
        <v>522</v>
      </c>
      <c r="BN13" s="778" t="s">
        <v>523</v>
      </c>
      <c r="BO13" s="778" t="s">
        <v>524</v>
      </c>
      <c r="BP13" s="778" t="s">
        <v>525</v>
      </c>
      <c r="BQ13" s="778" t="s">
        <v>526</v>
      </c>
      <c r="BR13" s="778" t="s">
        <v>527</v>
      </c>
      <c r="BS13" s="331"/>
      <c r="BU13" s="1560"/>
      <c r="BV13" s="1560"/>
      <c r="BW13" s="1560"/>
      <c r="BX13" s="1560"/>
      <c r="BY13" s="1560"/>
      <c r="BZ13" s="1637"/>
      <c r="CA13" s="772" t="s">
        <v>520</v>
      </c>
      <c r="CB13" s="773" t="s">
        <v>521</v>
      </c>
      <c r="CC13" s="773" t="s">
        <v>522</v>
      </c>
      <c r="CD13" s="773" t="s">
        <v>540</v>
      </c>
      <c r="CE13" s="773" t="s">
        <v>538</v>
      </c>
      <c r="CF13" s="773" t="s">
        <v>539</v>
      </c>
    </row>
    <row r="14" spans="2:84" ht="15" thickBot="1">
      <c r="B14" s="50" t="s">
        <v>31</v>
      </c>
      <c r="C14" s="71">
        <f>'Part Keep-Discard'!W13/100</f>
        <v>0.10824299999999999</v>
      </c>
      <c r="D14" s="216">
        <f>'Part Keep-Discard'!F12</f>
        <v>2.2999999999999998</v>
      </c>
      <c r="E14" s="73" t="s">
        <v>48</v>
      </c>
      <c r="F14" s="72">
        <f>'Part KIU-KU'!W13/100</f>
        <v>0.86251199999999995</v>
      </c>
      <c r="G14" s="225">
        <f>'Part KIU-KU'!X12</f>
        <v>7.6162000000000001</v>
      </c>
      <c r="H14" s="73" t="s">
        <v>66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57"/>
      <c r="T14" s="737"/>
      <c r="U14" s="737"/>
      <c r="V14" s="1753" t="s">
        <v>267</v>
      </c>
      <c r="W14" s="1753"/>
      <c r="X14" s="1753"/>
      <c r="Y14" s="1753"/>
      <c r="Z14" s="1753"/>
      <c r="AA14" s="1753"/>
      <c r="AB14" s="743">
        <f>C$14*F14</f>
        <v>9.3360886415999988E-2</v>
      </c>
      <c r="AC14" s="750">
        <f>100*AB14*SQRT(IF($C$14&gt;0,($D$14/$C$14/100)^2,0)+IF($F14&gt;0,($G14/$F14/100)^2,0))</f>
        <v>2.1482573126252711</v>
      </c>
      <c r="AD14" s="125">
        <f t="shared" ref="AD14:AD36" si="0">$AB$5</f>
        <v>853</v>
      </c>
      <c r="AE14" s="340">
        <f t="shared" ref="AE14:AE36" si="1">$AC$5</f>
        <v>75.656474204663084</v>
      </c>
      <c r="AF14" s="119">
        <f>'Part KIU-KU'!V$25</f>
        <v>0.95104949999999999</v>
      </c>
      <c r="AG14" s="295">
        <f>'Part KIU-KU'!X$25</f>
        <v>2.2906200000000002E-2</v>
      </c>
      <c r="AH14" s="125">
        <f>AD14*AF14</f>
        <v>811.24522349999995</v>
      </c>
      <c r="AI14" s="340">
        <f>AH14*SQRT(IF(AD14&gt;0,(AE14/AD14)^2,0)+IF(AF14&gt;0,(AG14/AF14/100)^2,0))</f>
        <v>71.953317256101116</v>
      </c>
      <c r="AJ14" s="125">
        <f>$AB$5</f>
        <v>853</v>
      </c>
      <c r="AK14" s="340">
        <f>$AC$5</f>
        <v>75.656474204663084</v>
      </c>
      <c r="AL14" s="422">
        <v>0</v>
      </c>
      <c r="AM14" s="295">
        <v>0</v>
      </c>
      <c r="AN14" s="125">
        <f>AJ14*AL14</f>
        <v>0</v>
      </c>
      <c r="AO14" s="340">
        <f>AN14*SQRT(IF(AJ14&gt;0,(AK14/AJ14)^2,0)+IF(AL14&gt;0,(AM14/AL14/100)^2,0))</f>
        <v>0</v>
      </c>
      <c r="AP14" s="147">
        <f>AH14-AN14</f>
        <v>811.24522349999995</v>
      </c>
      <c r="AQ14" s="753">
        <f>SQRT(AO14^2+AI14^2)</f>
        <v>71.953317256101116</v>
      </c>
      <c r="AR14" s="147">
        <v>1</v>
      </c>
      <c r="AS14" s="147">
        <f>AP14*AR14</f>
        <v>811.24522349999995</v>
      </c>
      <c r="AT14" s="753">
        <f>AQ14</f>
        <v>71.953317256101116</v>
      </c>
      <c r="AU14" s="147">
        <f>AP14*AB14</f>
        <v>75.738573166706018</v>
      </c>
      <c r="AV14" s="753">
        <f>AU14*SQRT(IF(AB14&gt;0,(AC14/AB14/100)^2,0)+IF(AP14&gt;0,(AQ14/AP14),0))</f>
        <v>28.504487802989392</v>
      </c>
      <c r="AW14" s="147">
        <f t="shared" ref="AW14:AW36" si="2">AS14*AB14</f>
        <v>75.738573166706018</v>
      </c>
      <c r="AX14" s="753">
        <f>AW14*SQRT(IF(AS14&gt;0,(AT14/AS14)^2,0)+IF(AB14&gt;0,(AC14/AB14/100)^2,0))</f>
        <v>18.67749844335825</v>
      </c>
      <c r="AY14" s="299">
        <f>IF(AU14&gt;0,AW14/AU14,0)</f>
        <v>1</v>
      </c>
      <c r="AZ14" s="752">
        <f>AY14*SQRT(IF(AU14&gt;0,(AV14/AU14)^2,0)+IF(AW14&gt;0,(AX14/AW14)^2,0))</f>
        <v>0.44995111811544558</v>
      </c>
      <c r="BE14" s="1575" t="s">
        <v>267</v>
      </c>
      <c r="BF14" s="1575"/>
      <c r="BG14" s="1575"/>
      <c r="BH14" s="1575"/>
      <c r="BI14" s="1575"/>
      <c r="BJ14" s="1575"/>
      <c r="BK14" s="765">
        <f>AB14</f>
        <v>9.3360886415999988E-2</v>
      </c>
      <c r="BL14" s="766">
        <f>AD14</f>
        <v>853</v>
      </c>
      <c r="BM14" s="767">
        <f>AF14</f>
        <v>0.95104949999999999</v>
      </c>
      <c r="BN14" s="766">
        <f>AH14</f>
        <v>811.24522349999995</v>
      </c>
      <c r="BO14" s="766">
        <f>AJ14</f>
        <v>853</v>
      </c>
      <c r="BP14" s="766">
        <f>AL14</f>
        <v>0</v>
      </c>
      <c r="BQ14" s="766">
        <f>AN14</f>
        <v>0</v>
      </c>
      <c r="BR14" s="766">
        <f>AP14</f>
        <v>811.24522349999995</v>
      </c>
      <c r="BS14" s="643"/>
      <c r="BU14" s="1575" t="s">
        <v>267</v>
      </c>
      <c r="BV14" s="1575"/>
      <c r="BW14" s="1575"/>
      <c r="BX14" s="1575"/>
      <c r="BY14" s="1575"/>
      <c r="BZ14" s="1575"/>
      <c r="CA14" s="765">
        <f>AB14</f>
        <v>9.3360886415999988E-2</v>
      </c>
      <c r="CB14" s="781">
        <f>AP14</f>
        <v>811.24522349999995</v>
      </c>
      <c r="CC14" s="782">
        <f>AR14</f>
        <v>1</v>
      </c>
      <c r="CD14" s="783">
        <f>AS14</f>
        <v>811.24522349999995</v>
      </c>
      <c r="CE14" s="782">
        <f>AU14</f>
        <v>75.738573166706018</v>
      </c>
      <c r="CF14" s="782">
        <f>AW14</f>
        <v>75.738573166706018</v>
      </c>
    </row>
    <row r="15" spans="2:84" ht="15" thickBot="1">
      <c r="B15" s="60"/>
      <c r="C15" s="81"/>
      <c r="D15" s="217"/>
      <c r="E15" s="73" t="s">
        <v>49</v>
      </c>
      <c r="F15" s="72">
        <f>'Part KIU-KU'!W12/100</f>
        <v>0.137488</v>
      </c>
      <c r="G15" s="225">
        <f>'Part KIU-KU'!X13</f>
        <v>7.6162000000000001</v>
      </c>
      <c r="H15" s="73" t="s">
        <v>66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657"/>
      <c r="T15" s="737"/>
      <c r="U15" s="737"/>
      <c r="V15" s="1753" t="s">
        <v>268</v>
      </c>
      <c r="W15" s="1753"/>
      <c r="X15" s="1753"/>
      <c r="Y15" s="1753"/>
      <c r="Z15" s="1753"/>
      <c r="AA15" s="1753"/>
      <c r="AB15" s="743">
        <f>C$14*F15</f>
        <v>1.4882113583999998E-2</v>
      </c>
      <c r="AC15" s="750">
        <f>100*AB15*SQRT(IF($C$14&gt;0,($D$14/$C$14/100)^2,0)+IF(F15&gt;0,(G15/F15/100)^2,0))</f>
        <v>0.88296801824752014</v>
      </c>
      <c r="AD15" s="125">
        <f t="shared" si="0"/>
        <v>853</v>
      </c>
      <c r="AE15" s="340">
        <f t="shared" si="1"/>
        <v>75.656474204663084</v>
      </c>
      <c r="AF15" s="119">
        <v>0</v>
      </c>
      <c r="AG15" s="295">
        <v>0</v>
      </c>
      <c r="AH15" s="125">
        <f t="shared" ref="AH15:AH35" si="3">AD15*AF15</f>
        <v>0</v>
      </c>
      <c r="AI15" s="340">
        <f t="shared" ref="AI15:AI36" si="4">AH15*SQRT(IF(AD15&gt;0,(AE15/AD15)^2,0)+IF(AF15&gt;0,(AG15/AF15/100)^2,0))</f>
        <v>0</v>
      </c>
      <c r="AJ15" s="125">
        <f>$AB$5</f>
        <v>853</v>
      </c>
      <c r="AK15" s="340">
        <f>$AC$5</f>
        <v>75.656474204663084</v>
      </c>
      <c r="AL15" s="117">
        <v>0</v>
      </c>
      <c r="AM15" s="342">
        <v>0</v>
      </c>
      <c r="AN15" s="117">
        <f t="shared" ref="AN15:AO35" si="5">AL15*AJ15</f>
        <v>0</v>
      </c>
      <c r="AO15" s="340">
        <f t="shared" ref="AO15:AO36" si="6">AN15*SQRT(IF(AJ15&gt;0,(AK15/AJ15)^2,0)+IF(AL15&gt;0,(AM15/AL15/100)^2,0))</f>
        <v>0</v>
      </c>
      <c r="AP15" s="142">
        <f t="shared" ref="AP15:AP36" si="7">AH15-AN15</f>
        <v>0</v>
      </c>
      <c r="AQ15" s="753">
        <f t="shared" ref="AQ15:AQ36" si="8">SQRT(AO15^2+AI15^2)</f>
        <v>0</v>
      </c>
      <c r="AR15" s="147">
        <v>1</v>
      </c>
      <c r="AS15" s="142">
        <f t="shared" ref="AS15:AS36" si="9">AP15*AR15</f>
        <v>0</v>
      </c>
      <c r="AT15" s="753">
        <f t="shared" ref="AT15:AT36" si="10">AQ15</f>
        <v>0</v>
      </c>
      <c r="AU15" s="142">
        <f t="shared" ref="AU15:AU36" si="11">AP15*AB15</f>
        <v>0</v>
      </c>
      <c r="AV15" s="753">
        <f t="shared" ref="AV15:AV36" si="12">AU15*SQRT(IF(AB15&gt;0,(AC15/AB15/100)^2,0)+IF(AP15&gt;0,(AQ15/AP15),0))</f>
        <v>0</v>
      </c>
      <c r="AW15" s="142">
        <f t="shared" si="2"/>
        <v>0</v>
      </c>
      <c r="AX15" s="753">
        <f t="shared" ref="AX15:AX36" si="13">AW15*SQRT(IF(AS15&gt;0,(AT15/AS15)^2,0)+IF(AB15&gt;0,(AC15/AB15/100)^2,0))</f>
        <v>0</v>
      </c>
      <c r="AY15" s="299" t="s">
        <v>130</v>
      </c>
      <c r="AZ15" s="753" t="s">
        <v>130</v>
      </c>
      <c r="BE15" s="1575" t="s">
        <v>268</v>
      </c>
      <c r="BF15" s="1575"/>
      <c r="BG15" s="1575"/>
      <c r="BH15" s="1575"/>
      <c r="BI15" s="1575"/>
      <c r="BJ15" s="1575"/>
      <c r="BK15" s="765">
        <f t="shared" ref="BK15:BK36" si="14">AB15</f>
        <v>1.4882113583999998E-2</v>
      </c>
      <c r="BL15" s="766">
        <f t="shared" ref="BL15:BL36" si="15">AD15</f>
        <v>853</v>
      </c>
      <c r="BM15" s="767">
        <f t="shared" ref="BM15:BM36" si="16">AF15</f>
        <v>0</v>
      </c>
      <c r="BN15" s="766">
        <f t="shared" ref="BN15:BN36" si="17">AH15</f>
        <v>0</v>
      </c>
      <c r="BO15" s="766">
        <f t="shared" ref="BO15:BO36" si="18">AJ15</f>
        <v>853</v>
      </c>
      <c r="BP15" s="766">
        <f t="shared" ref="BP15:BP36" si="19">AL15</f>
        <v>0</v>
      </c>
      <c r="BQ15" s="766">
        <f t="shared" ref="BQ15:BQ36" si="20">AN15</f>
        <v>0</v>
      </c>
      <c r="BR15" s="766">
        <f t="shared" ref="BR15:BR36" si="21">AP15</f>
        <v>0</v>
      </c>
      <c r="BS15" s="643"/>
      <c r="BU15" s="1575" t="s">
        <v>268</v>
      </c>
      <c r="BV15" s="1575"/>
      <c r="BW15" s="1575"/>
      <c r="BX15" s="1575"/>
      <c r="BY15" s="1575"/>
      <c r="BZ15" s="1575"/>
      <c r="CA15" s="765">
        <f t="shared" ref="CA15:CA36" si="22">AB15</f>
        <v>1.4882113583999998E-2</v>
      </c>
      <c r="CB15" s="781">
        <f t="shared" ref="CB15:CB36" si="23">AP15</f>
        <v>0</v>
      </c>
      <c r="CC15" s="782">
        <f t="shared" ref="CC15:CD36" si="24">AR15</f>
        <v>1</v>
      </c>
      <c r="CD15" s="783">
        <f t="shared" si="24"/>
        <v>0</v>
      </c>
      <c r="CE15" s="782">
        <f t="shared" ref="CE15:CE36" si="25">AU15</f>
        <v>0</v>
      </c>
      <c r="CF15" s="782">
        <f t="shared" ref="CF15:CF36" si="26">AW15</f>
        <v>0</v>
      </c>
    </row>
    <row r="16" spans="2:84" ht="15" thickBot="1">
      <c r="B16" s="50" t="s">
        <v>32</v>
      </c>
      <c r="C16" s="71">
        <f>'Part Keep-Discard'!W12/100</f>
        <v>0.89175700000000002</v>
      </c>
      <c r="D16" s="216">
        <f>'Part Keep-Discard'!F13</f>
        <v>2.2999999999999998</v>
      </c>
      <c r="E16" s="57" t="s">
        <v>53</v>
      </c>
      <c r="F16" s="67">
        <f>'Discarder Disposition'!Z13/100</f>
        <v>0.25656699999999999</v>
      </c>
      <c r="G16" s="227">
        <f>'Discarder Disposition'!AA13</f>
        <v>8.6257999999999999</v>
      </c>
      <c r="H16" s="57" t="s">
        <v>64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738"/>
      <c r="U16" s="738"/>
      <c r="V16" s="1791" t="s">
        <v>133</v>
      </c>
      <c r="W16" s="1791"/>
      <c r="X16" s="1791"/>
      <c r="Y16" s="1791"/>
      <c r="Z16" s="1791"/>
      <c r="AA16" s="1791"/>
      <c r="AB16" s="744">
        <f>C$16*F16</f>
        <v>0.22879541821899999</v>
      </c>
      <c r="AC16" s="754">
        <f>100*AB16*SQRT(IF($C$16&gt;0,($D$16/$C$16/100)^2,0)+IF(F16&gt;0,(G16/F16/100)^2,0))</f>
        <v>7.7147193697114238</v>
      </c>
      <c r="AD16" s="125">
        <f t="shared" si="0"/>
        <v>853</v>
      </c>
      <c r="AE16" s="340">
        <f t="shared" si="1"/>
        <v>75.656474204663084</v>
      </c>
      <c r="AF16" s="119">
        <v>0.99</v>
      </c>
      <c r="AG16" s="295">
        <v>0</v>
      </c>
      <c r="AH16" s="125">
        <v>804</v>
      </c>
      <c r="AI16" s="340">
        <f t="shared" si="4"/>
        <v>71.310439930303772</v>
      </c>
      <c r="AJ16" s="125">
        <v>423</v>
      </c>
      <c r="AK16" s="340"/>
      <c r="AL16" s="522">
        <v>9.9000000000000005E-2</v>
      </c>
      <c r="AM16" s="342">
        <v>0</v>
      </c>
      <c r="AN16" s="125">
        <v>420</v>
      </c>
      <c r="AO16" s="340">
        <f t="shared" si="6"/>
        <v>0</v>
      </c>
      <c r="AP16" s="147">
        <f t="shared" si="7"/>
        <v>384</v>
      </c>
      <c r="AQ16" s="753">
        <f t="shared" si="8"/>
        <v>71.310439930303772</v>
      </c>
      <c r="AR16" s="147">
        <v>0</v>
      </c>
      <c r="AS16" s="142">
        <f t="shared" si="9"/>
        <v>0</v>
      </c>
      <c r="AT16" s="753">
        <f t="shared" si="10"/>
        <v>71.310439930303772</v>
      </c>
      <c r="AU16" s="147">
        <f t="shared" si="11"/>
        <v>87.857440596095998</v>
      </c>
      <c r="AV16" s="753">
        <f t="shared" si="12"/>
        <v>48.073387311405256</v>
      </c>
      <c r="AW16" s="142">
        <f t="shared" si="2"/>
        <v>0</v>
      </c>
      <c r="AX16" s="753">
        <f t="shared" si="13"/>
        <v>0</v>
      </c>
      <c r="AY16" s="299">
        <f>IF(AU16&gt;0,AW16/AU16,0)</f>
        <v>0</v>
      </c>
      <c r="AZ16" s="752">
        <f>AY16*SQRT(IF(AU16&gt;0,(AV16/AU16)^2,0)+IF(AW16&gt;0,(AX16/AW16)^2,0))</f>
        <v>0</v>
      </c>
      <c r="BE16" s="1575" t="s">
        <v>133</v>
      </c>
      <c r="BF16" s="1575"/>
      <c r="BG16" s="1575"/>
      <c r="BH16" s="1575"/>
      <c r="BI16" s="1575"/>
      <c r="BJ16" s="1575"/>
      <c r="BK16" s="765">
        <f t="shared" si="14"/>
        <v>0.22879541821899999</v>
      </c>
      <c r="BL16" s="766">
        <f t="shared" si="15"/>
        <v>853</v>
      </c>
      <c r="BM16" s="767">
        <f t="shared" si="16"/>
        <v>0.99</v>
      </c>
      <c r="BN16" s="766">
        <f t="shared" si="17"/>
        <v>804</v>
      </c>
      <c r="BO16" s="766">
        <f t="shared" si="18"/>
        <v>423</v>
      </c>
      <c r="BP16" s="766">
        <f t="shared" si="19"/>
        <v>9.9000000000000005E-2</v>
      </c>
      <c r="BQ16" s="766">
        <f t="shared" si="20"/>
        <v>420</v>
      </c>
      <c r="BR16" s="766">
        <f t="shared" si="21"/>
        <v>384</v>
      </c>
      <c r="BS16" s="643"/>
      <c r="BU16" s="1575" t="s">
        <v>133</v>
      </c>
      <c r="BV16" s="1575"/>
      <c r="BW16" s="1575"/>
      <c r="BX16" s="1575"/>
      <c r="BY16" s="1575"/>
      <c r="BZ16" s="1575"/>
      <c r="CA16" s="765">
        <f t="shared" si="22"/>
        <v>0.22879541821899999</v>
      </c>
      <c r="CB16" s="781">
        <f t="shared" si="23"/>
        <v>384</v>
      </c>
      <c r="CC16" s="782">
        <f t="shared" si="24"/>
        <v>0</v>
      </c>
      <c r="CD16" s="783">
        <f t="shared" si="24"/>
        <v>0</v>
      </c>
      <c r="CE16" s="782">
        <f t="shared" si="25"/>
        <v>87.857440596095998</v>
      </c>
      <c r="CF16" s="782">
        <f t="shared" si="26"/>
        <v>0</v>
      </c>
    </row>
    <row r="17" spans="2:84" ht="15" thickBot="1">
      <c r="B17" s="60"/>
      <c r="C17" s="218"/>
      <c r="D17" s="219"/>
      <c r="E17" s="52" t="s">
        <v>62</v>
      </c>
      <c r="F17" s="68">
        <f>'Discarder Disposition'!Z14/100</f>
        <v>0.43293599999999999</v>
      </c>
      <c r="G17" s="229">
        <f>'Discarder Disposition'!AA14</f>
        <v>9.7784999999999993</v>
      </c>
      <c r="H17" s="52" t="s">
        <v>64</v>
      </c>
      <c r="I17" s="230"/>
      <c r="J17" s="230"/>
      <c r="K17" s="230"/>
      <c r="L17" s="231"/>
      <c r="M17" s="209" t="s">
        <v>59</v>
      </c>
      <c r="N17" s="207">
        <f>'P2P CF if Unit not available'!Y85/100</f>
        <v>0.64757299999999995</v>
      </c>
      <c r="O17" s="232">
        <f>'P2P CF if Unit not available'!Z85</f>
        <v>8.3389000000000006</v>
      </c>
      <c r="P17" s="89" t="s">
        <v>72</v>
      </c>
      <c r="Q17" s="90">
        <f>'P2P CF if Unit not available'!Y16/100</f>
        <v>0.53627199999999997</v>
      </c>
      <c r="R17" s="233">
        <f>'P2P CF if Unit not available'!Z16</f>
        <v>22.245899999999999</v>
      </c>
      <c r="S17" s="209" t="s">
        <v>67</v>
      </c>
      <c r="T17" s="734"/>
      <c r="U17" s="734"/>
      <c r="V17" s="1782" t="s">
        <v>340</v>
      </c>
      <c r="W17" s="1782" t="s">
        <v>341</v>
      </c>
      <c r="X17" s="1782" t="s">
        <v>342</v>
      </c>
      <c r="Y17" s="1785" t="s">
        <v>344</v>
      </c>
      <c r="Z17" s="1785"/>
      <c r="AA17" s="1785"/>
      <c r="AB17" s="745">
        <f>C16*F17*N17*Q17</f>
        <v>0.13407385054955506</v>
      </c>
      <c r="AC17" s="755">
        <f>100*AB17*SQRT(IF($C$16&gt;0,($D$16/$C$16/100)^2,0)+IF($F$17&gt;0,($G$17/$F$17/100)^2,0)+IF($N$17&gt;0,($O$17/$N$17/100)^2,0)+IF(Q17&gt;0,(R17/Q17/100)^2,0))</f>
        <v>6.5729282573227419</v>
      </c>
      <c r="AD17" s="125">
        <f t="shared" si="0"/>
        <v>853</v>
      </c>
      <c r="AE17" s="340">
        <f t="shared" si="1"/>
        <v>75.656474204663084</v>
      </c>
      <c r="AF17" s="119">
        <v>1</v>
      </c>
      <c r="AG17" s="295">
        <v>0</v>
      </c>
      <c r="AH17" s="125">
        <f t="shared" si="3"/>
        <v>853</v>
      </c>
      <c r="AI17" s="340">
        <f t="shared" si="4"/>
        <v>75.656474204663084</v>
      </c>
      <c r="AJ17" s="422">
        <f>$AB$6</f>
        <v>724</v>
      </c>
      <c r="AK17" s="423">
        <f>$AC$6</f>
        <v>120</v>
      </c>
      <c r="AL17" s="117">
        <v>1</v>
      </c>
      <c r="AM17" s="342">
        <v>0</v>
      </c>
      <c r="AN17" s="125">
        <f t="shared" si="5"/>
        <v>724</v>
      </c>
      <c r="AO17" s="340">
        <f t="shared" si="6"/>
        <v>120</v>
      </c>
      <c r="AP17" s="147">
        <f t="shared" si="7"/>
        <v>129</v>
      </c>
      <c r="AQ17" s="753">
        <f t="shared" si="8"/>
        <v>141.858739910803</v>
      </c>
      <c r="AR17" s="147">
        <v>1</v>
      </c>
      <c r="AS17" s="147">
        <f t="shared" si="9"/>
        <v>129</v>
      </c>
      <c r="AT17" s="753">
        <f t="shared" si="10"/>
        <v>141.858739910803</v>
      </c>
      <c r="AU17" s="147">
        <f t="shared" si="11"/>
        <v>17.295526720892603</v>
      </c>
      <c r="AV17" s="753">
        <f t="shared" si="12"/>
        <v>20.021184938384373</v>
      </c>
      <c r="AW17" s="147">
        <f t="shared" si="2"/>
        <v>17.295526720892603</v>
      </c>
      <c r="AX17" s="753">
        <f t="shared" si="13"/>
        <v>20.823975156311878</v>
      </c>
      <c r="AY17" s="299">
        <f>IF(AU17&gt;0,AW17/AU17,0)</f>
        <v>1</v>
      </c>
      <c r="AZ17" s="752">
        <f t="shared" ref="AZ17:AZ36" si="27">AY17*SQRT(IF(AU17&gt;0,(AV17/AU17)^2,0)+IF(AW17&gt;0,(AX17/AW17)^2,0))</f>
        <v>1.6702276908593718</v>
      </c>
      <c r="BE17" s="1583" t="s">
        <v>340</v>
      </c>
      <c r="BF17" s="1592" t="s">
        <v>341</v>
      </c>
      <c r="BG17" s="1592" t="s">
        <v>342</v>
      </c>
      <c r="BH17" s="1575" t="s">
        <v>344</v>
      </c>
      <c r="BI17" s="1575"/>
      <c r="BJ17" s="1575"/>
      <c r="BK17" s="765">
        <f t="shared" si="14"/>
        <v>0.13407385054955506</v>
      </c>
      <c r="BL17" s="766">
        <f t="shared" si="15"/>
        <v>853</v>
      </c>
      <c r="BM17" s="767">
        <f t="shared" si="16"/>
        <v>1</v>
      </c>
      <c r="BN17" s="766">
        <f t="shared" si="17"/>
        <v>853</v>
      </c>
      <c r="BO17" s="766">
        <f t="shared" si="18"/>
        <v>724</v>
      </c>
      <c r="BP17" s="766">
        <f t="shared" si="19"/>
        <v>1</v>
      </c>
      <c r="BQ17" s="766">
        <f t="shared" si="20"/>
        <v>724</v>
      </c>
      <c r="BR17" s="766">
        <f t="shared" si="21"/>
        <v>129</v>
      </c>
      <c r="BS17" s="643"/>
      <c r="BU17" s="1583" t="s">
        <v>340</v>
      </c>
      <c r="BV17" s="1592" t="s">
        <v>341</v>
      </c>
      <c r="BW17" s="1592" t="s">
        <v>342</v>
      </c>
      <c r="BX17" s="1575" t="s">
        <v>344</v>
      </c>
      <c r="BY17" s="1575"/>
      <c r="BZ17" s="1575"/>
      <c r="CA17" s="765">
        <f t="shared" si="22"/>
        <v>0.13407385054955506</v>
      </c>
      <c r="CB17" s="781">
        <f t="shared" si="23"/>
        <v>129</v>
      </c>
      <c r="CC17" s="782">
        <f t="shared" si="24"/>
        <v>1</v>
      </c>
      <c r="CD17" s="783">
        <f t="shared" si="24"/>
        <v>129</v>
      </c>
      <c r="CE17" s="782">
        <f t="shared" si="25"/>
        <v>17.295526720892603</v>
      </c>
      <c r="CF17" s="782">
        <f t="shared" si="26"/>
        <v>17.295526720892603</v>
      </c>
    </row>
    <row r="18" spans="2:84" ht="15" thickBot="1">
      <c r="B18" s="60"/>
      <c r="C18" s="218"/>
      <c r="D18" s="219"/>
      <c r="E18" s="52"/>
      <c r="F18" s="68"/>
      <c r="G18" s="229"/>
      <c r="H18" s="52"/>
      <c r="I18" s="52"/>
      <c r="J18" s="52"/>
      <c r="K18" s="52"/>
      <c r="L18" s="59"/>
      <c r="M18" s="209"/>
      <c r="N18" s="207"/>
      <c r="O18" s="232"/>
      <c r="P18" s="89" t="s">
        <v>73</v>
      </c>
      <c r="Q18" s="90">
        <f>'P2P CF if Unit not available'!Y17/100</f>
        <v>0.157079</v>
      </c>
      <c r="R18" s="233">
        <f>'P2P CF if Unit not available'!Z17</f>
        <v>15.896100000000001</v>
      </c>
      <c r="S18" s="209"/>
      <c r="T18" s="734"/>
      <c r="U18" s="734"/>
      <c r="V18" s="1782"/>
      <c r="W18" s="1782"/>
      <c r="X18" s="1782"/>
      <c r="Y18" s="1785" t="s">
        <v>345</v>
      </c>
      <c r="Z18" s="1785"/>
      <c r="AA18" s="1785"/>
      <c r="AB18" s="745">
        <f>C16*F17*N17*Q18</f>
        <v>3.9271463679762433E-2</v>
      </c>
      <c r="AC18" s="755">
        <f>100*AB18*SQRT(IF($C$16&gt;0,($D$16/$C$16/100)^2,0)+IF($F$17&gt;0,($G$17/$F$17/100)^2,0)+IF($N$17&gt;0,($O$17/$N$17/100)^2,0)+IF(Q18&gt;0,(R18/Q18/100)^2,0))</f>
        <v>4.1045128873421808</v>
      </c>
      <c r="AD18" s="125">
        <f t="shared" si="0"/>
        <v>853</v>
      </c>
      <c r="AE18" s="340">
        <f t="shared" si="1"/>
        <v>75.656474204663084</v>
      </c>
      <c r="AF18" s="119">
        <v>1</v>
      </c>
      <c r="AG18" s="295">
        <v>0</v>
      </c>
      <c r="AH18" s="125">
        <f t="shared" si="3"/>
        <v>853</v>
      </c>
      <c r="AI18" s="340">
        <f t="shared" si="4"/>
        <v>75.656474204663084</v>
      </c>
      <c r="AJ18" s="125">
        <f>$AB$7</f>
        <v>660</v>
      </c>
      <c r="AK18" s="340">
        <f>$AC$7</f>
        <v>92</v>
      </c>
      <c r="AL18" s="117">
        <v>1</v>
      </c>
      <c r="AM18" s="342">
        <v>0</v>
      </c>
      <c r="AN18" s="125">
        <f t="shared" si="5"/>
        <v>660</v>
      </c>
      <c r="AO18" s="340">
        <f t="shared" si="6"/>
        <v>92</v>
      </c>
      <c r="AP18" s="147">
        <f t="shared" si="7"/>
        <v>193</v>
      </c>
      <c r="AQ18" s="753">
        <f t="shared" si="8"/>
        <v>119.11298035512691</v>
      </c>
      <c r="AR18" s="147">
        <v>1</v>
      </c>
      <c r="AS18" s="147">
        <f t="shared" si="9"/>
        <v>193</v>
      </c>
      <c r="AT18" s="753">
        <f t="shared" si="10"/>
        <v>119.11298035512691</v>
      </c>
      <c r="AU18" s="147">
        <f t="shared" si="11"/>
        <v>7.5793924901941496</v>
      </c>
      <c r="AV18" s="753">
        <f t="shared" si="12"/>
        <v>9.909991066175694</v>
      </c>
      <c r="AW18" s="147">
        <f t="shared" si="2"/>
        <v>7.5793924901941496</v>
      </c>
      <c r="AX18" s="753">
        <f t="shared" si="13"/>
        <v>9.1997146115291066</v>
      </c>
      <c r="AY18" s="299">
        <f t="shared" ref="AY18:AY36" si="28">IF(AU18&gt;0,AW18/AU18,0)</f>
        <v>1</v>
      </c>
      <c r="AZ18" s="752">
        <f t="shared" si="27"/>
        <v>1.7840391575476673</v>
      </c>
      <c r="BE18" s="1583"/>
      <c r="BF18" s="1593"/>
      <c r="BG18" s="1593"/>
      <c r="BH18" s="1575" t="s">
        <v>345</v>
      </c>
      <c r="BI18" s="1575"/>
      <c r="BJ18" s="1575"/>
      <c r="BK18" s="765">
        <f t="shared" si="14"/>
        <v>3.9271463679762433E-2</v>
      </c>
      <c r="BL18" s="766">
        <f t="shared" si="15"/>
        <v>853</v>
      </c>
      <c r="BM18" s="767">
        <f t="shared" si="16"/>
        <v>1</v>
      </c>
      <c r="BN18" s="766">
        <f t="shared" si="17"/>
        <v>853</v>
      </c>
      <c r="BO18" s="766">
        <f t="shared" si="18"/>
        <v>660</v>
      </c>
      <c r="BP18" s="766">
        <f t="shared" si="19"/>
        <v>1</v>
      </c>
      <c r="BQ18" s="766">
        <f t="shared" si="20"/>
        <v>660</v>
      </c>
      <c r="BR18" s="766">
        <f t="shared" si="21"/>
        <v>193</v>
      </c>
      <c r="BS18" s="643"/>
      <c r="BU18" s="1583"/>
      <c r="BV18" s="1593"/>
      <c r="BW18" s="1593"/>
      <c r="BX18" s="1575" t="s">
        <v>345</v>
      </c>
      <c r="BY18" s="1575"/>
      <c r="BZ18" s="1575"/>
      <c r="CA18" s="765">
        <f t="shared" si="22"/>
        <v>3.9271463679762433E-2</v>
      </c>
      <c r="CB18" s="781">
        <f t="shared" si="23"/>
        <v>193</v>
      </c>
      <c r="CC18" s="782">
        <f t="shared" si="24"/>
        <v>1</v>
      </c>
      <c r="CD18" s="783">
        <f t="shared" si="24"/>
        <v>193</v>
      </c>
      <c r="CE18" s="782">
        <f t="shared" si="25"/>
        <v>7.5793924901941496</v>
      </c>
      <c r="CF18" s="782">
        <f t="shared" si="26"/>
        <v>7.5793924901941496</v>
      </c>
    </row>
    <row r="19" spans="2:84" ht="15" thickBot="1">
      <c r="B19" s="60"/>
      <c r="C19" s="218"/>
      <c r="D19" s="219"/>
      <c r="E19" s="52"/>
      <c r="F19" s="68"/>
      <c r="G19" s="229"/>
      <c r="H19" s="52"/>
      <c r="I19" s="52"/>
      <c r="J19" s="52"/>
      <c r="K19" s="52"/>
      <c r="L19" s="59"/>
      <c r="M19" s="209"/>
      <c r="N19" s="207"/>
      <c r="O19" s="232"/>
      <c r="P19" s="89" t="s">
        <v>74</v>
      </c>
      <c r="Q19" s="90">
        <f>'P2P CF if Unit not available'!Y18/100</f>
        <v>0</v>
      </c>
      <c r="R19" s="233">
        <f>'P2P CF if Unit not available'!Z18</f>
        <v>0</v>
      </c>
      <c r="S19" s="209"/>
      <c r="T19" s="734"/>
      <c r="U19" s="734"/>
      <c r="V19" s="1782"/>
      <c r="W19" s="1782"/>
      <c r="X19" s="1782"/>
      <c r="Y19" s="1785" t="s">
        <v>346</v>
      </c>
      <c r="Z19" s="1785"/>
      <c r="AA19" s="1785"/>
      <c r="AB19" s="745">
        <f>C16*F17*N17*Q19</f>
        <v>0</v>
      </c>
      <c r="AC19" s="755">
        <f>100*AB19*SQRT(IF($C$16&gt;0,($D$16/$C$16/100)^2,0)+IF($F$17&gt;0,($G$17/$F$17/100)^2,0)+IF($N$17&gt;0,($O$17/$N$17/100)^2,0)+IF(Q19&gt;0,(R19/Q19/100)^2,0))</f>
        <v>0</v>
      </c>
      <c r="AD19" s="125">
        <f t="shared" si="0"/>
        <v>853</v>
      </c>
      <c r="AE19" s="340">
        <f t="shared" si="1"/>
        <v>75.656474204663084</v>
      </c>
      <c r="AF19" s="119">
        <v>1</v>
      </c>
      <c r="AG19" s="295">
        <v>0</v>
      </c>
      <c r="AH19" s="125">
        <f t="shared" si="3"/>
        <v>853</v>
      </c>
      <c r="AI19" s="340">
        <f t="shared" si="4"/>
        <v>75.656474204663084</v>
      </c>
      <c r="AJ19" s="422">
        <f>AB8</f>
        <v>452</v>
      </c>
      <c r="AK19" s="423"/>
      <c r="AL19" s="117">
        <v>1</v>
      </c>
      <c r="AM19" s="342">
        <v>0</v>
      </c>
      <c r="AN19" s="125">
        <f t="shared" si="5"/>
        <v>452</v>
      </c>
      <c r="AO19" s="340">
        <f t="shared" si="6"/>
        <v>0</v>
      </c>
      <c r="AP19" s="147">
        <f t="shared" si="7"/>
        <v>401</v>
      </c>
      <c r="AQ19" s="753">
        <f t="shared" si="8"/>
        <v>75.656474204663084</v>
      </c>
      <c r="AR19" s="147">
        <v>1</v>
      </c>
      <c r="AS19" s="147">
        <f t="shared" si="9"/>
        <v>401</v>
      </c>
      <c r="AT19" s="753">
        <f t="shared" si="10"/>
        <v>75.656474204663084</v>
      </c>
      <c r="AU19" s="147">
        <f t="shared" si="11"/>
        <v>0</v>
      </c>
      <c r="AV19" s="753">
        <f t="shared" si="12"/>
        <v>0</v>
      </c>
      <c r="AW19" s="147">
        <f t="shared" si="2"/>
        <v>0</v>
      </c>
      <c r="AX19" s="753">
        <f t="shared" si="13"/>
        <v>0</v>
      </c>
      <c r="AY19" s="299">
        <f t="shared" si="28"/>
        <v>0</v>
      </c>
      <c r="AZ19" s="752">
        <f t="shared" si="27"/>
        <v>0</v>
      </c>
      <c r="BE19" s="1583"/>
      <c r="BF19" s="1593"/>
      <c r="BG19" s="1593"/>
      <c r="BH19" s="1575" t="s">
        <v>346</v>
      </c>
      <c r="BI19" s="1575"/>
      <c r="BJ19" s="1575"/>
      <c r="BK19" s="765">
        <f t="shared" si="14"/>
        <v>0</v>
      </c>
      <c r="BL19" s="766">
        <f t="shared" si="15"/>
        <v>853</v>
      </c>
      <c r="BM19" s="767">
        <f t="shared" si="16"/>
        <v>1</v>
      </c>
      <c r="BN19" s="766">
        <f t="shared" si="17"/>
        <v>853</v>
      </c>
      <c r="BO19" s="766">
        <f t="shared" si="18"/>
        <v>452</v>
      </c>
      <c r="BP19" s="766">
        <f t="shared" si="19"/>
        <v>1</v>
      </c>
      <c r="BQ19" s="766">
        <f t="shared" si="20"/>
        <v>452</v>
      </c>
      <c r="BR19" s="766">
        <f t="shared" si="21"/>
        <v>401</v>
      </c>
      <c r="BS19" s="643"/>
      <c r="BU19" s="1583"/>
      <c r="BV19" s="1593"/>
      <c r="BW19" s="1593"/>
      <c r="BX19" s="1575" t="s">
        <v>346</v>
      </c>
      <c r="BY19" s="1575"/>
      <c r="BZ19" s="1575"/>
      <c r="CA19" s="765">
        <f t="shared" si="22"/>
        <v>0</v>
      </c>
      <c r="CB19" s="781">
        <f t="shared" si="23"/>
        <v>401</v>
      </c>
      <c r="CC19" s="782">
        <f t="shared" si="24"/>
        <v>1</v>
      </c>
      <c r="CD19" s="783">
        <f t="shared" si="24"/>
        <v>401</v>
      </c>
      <c r="CE19" s="782">
        <f t="shared" si="25"/>
        <v>0</v>
      </c>
      <c r="CF19" s="782">
        <f t="shared" si="26"/>
        <v>0</v>
      </c>
    </row>
    <row r="20" spans="2:84" ht="15" thickBot="1">
      <c r="B20" s="60"/>
      <c r="C20" s="218"/>
      <c r="D20" s="219"/>
      <c r="E20" s="52"/>
      <c r="F20" s="68"/>
      <c r="G20" s="229"/>
      <c r="H20" s="52"/>
      <c r="I20" s="52"/>
      <c r="J20" s="52"/>
      <c r="K20" s="52"/>
      <c r="L20" s="59"/>
      <c r="M20" s="210"/>
      <c r="N20" s="208"/>
      <c r="O20" s="234"/>
      <c r="P20" s="91" t="s">
        <v>76</v>
      </c>
      <c r="Q20" s="92">
        <f>'P2P CF if Unit not available'!Y19/100</f>
        <v>0.306649</v>
      </c>
      <c r="R20" s="235">
        <f>'P2P CF if Unit not available'!Z19</f>
        <v>20.1843</v>
      </c>
      <c r="S20" s="210"/>
      <c r="T20" s="734" t="s">
        <v>509</v>
      </c>
      <c r="U20" s="739">
        <f>'P2P CF if Unit not available'!AH32</f>
        <v>0</v>
      </c>
      <c r="V20" s="1782"/>
      <c r="W20" s="1782"/>
      <c r="X20" s="1782"/>
      <c r="Y20" s="1789" t="s">
        <v>494</v>
      </c>
      <c r="Z20" s="1789"/>
      <c r="AA20" s="734" t="s">
        <v>509</v>
      </c>
      <c r="AB20" s="745">
        <f>C16*F17*N17*Q20*U20</f>
        <v>0</v>
      </c>
      <c r="AC20" s="755">
        <f>100*AB20*SQRT(IF($C$16&gt;0,($D$16/$C$16/100)^2,0)+IF($F$17&gt;0,($G$17/$F$17/100)^2,0)+IF($N$17&gt;0,($O$17/$N$17/100)^2,0)+IF(Q20&gt;0,(R20/Q20/100)^2,0))</f>
        <v>0</v>
      </c>
      <c r="AD20" s="125">
        <f t="shared" si="0"/>
        <v>853</v>
      </c>
      <c r="AE20" s="340">
        <f t="shared" si="1"/>
        <v>75.656474204663084</v>
      </c>
      <c r="AF20" s="119">
        <v>1</v>
      </c>
      <c r="AG20" s="295">
        <v>0</v>
      </c>
      <c r="AH20" s="125">
        <f t="shared" si="3"/>
        <v>853</v>
      </c>
      <c r="AI20" s="340">
        <f t="shared" si="4"/>
        <v>75.656474204663084</v>
      </c>
      <c r="AJ20" s="125">
        <f>(724*0.6)+(815*0.4)</f>
        <v>760.4</v>
      </c>
      <c r="AK20" s="340">
        <f>$AC$5</f>
        <v>75.656474204663084</v>
      </c>
      <c r="AL20" s="117">
        <v>1</v>
      </c>
      <c r="AM20" s="342">
        <v>0</v>
      </c>
      <c r="AN20" s="125">
        <f t="shared" si="5"/>
        <v>760.4</v>
      </c>
      <c r="AO20" s="340">
        <f t="shared" si="6"/>
        <v>75.656474204663084</v>
      </c>
      <c r="AP20" s="147">
        <f t="shared" si="7"/>
        <v>92.600000000000023</v>
      </c>
      <c r="AQ20" s="753">
        <f t="shared" si="8"/>
        <v>106.99441190156475</v>
      </c>
      <c r="AR20" s="147">
        <v>1</v>
      </c>
      <c r="AS20" s="147">
        <f t="shared" si="9"/>
        <v>92.600000000000023</v>
      </c>
      <c r="AT20" s="753">
        <f t="shared" si="10"/>
        <v>106.99441190156475</v>
      </c>
      <c r="AU20" s="147">
        <f t="shared" si="11"/>
        <v>0</v>
      </c>
      <c r="AV20" s="753">
        <f t="shared" si="12"/>
        <v>0</v>
      </c>
      <c r="AW20" s="147">
        <f t="shared" si="2"/>
        <v>0</v>
      </c>
      <c r="AX20" s="753">
        <f t="shared" si="13"/>
        <v>0</v>
      </c>
      <c r="AY20" s="299">
        <f t="shared" si="28"/>
        <v>0</v>
      </c>
      <c r="AZ20" s="752">
        <f t="shared" si="27"/>
        <v>0</v>
      </c>
      <c r="BE20" s="1583"/>
      <c r="BF20" s="1593"/>
      <c r="BG20" s="1593"/>
      <c r="BH20" s="1605" t="s">
        <v>494</v>
      </c>
      <c r="BI20" s="1605"/>
      <c r="BJ20" s="774" t="s">
        <v>509</v>
      </c>
      <c r="BK20" s="765">
        <f t="shared" si="14"/>
        <v>0</v>
      </c>
      <c r="BL20" s="766">
        <f t="shared" si="15"/>
        <v>853</v>
      </c>
      <c r="BM20" s="767">
        <f t="shared" si="16"/>
        <v>1</v>
      </c>
      <c r="BN20" s="766">
        <f t="shared" si="17"/>
        <v>853</v>
      </c>
      <c r="BO20" s="766">
        <f t="shared" si="18"/>
        <v>760.4</v>
      </c>
      <c r="BP20" s="766">
        <f t="shared" si="19"/>
        <v>1</v>
      </c>
      <c r="BQ20" s="766">
        <f t="shared" si="20"/>
        <v>760.4</v>
      </c>
      <c r="BR20" s="766">
        <f t="shared" si="21"/>
        <v>92.600000000000023</v>
      </c>
      <c r="BS20" s="643"/>
      <c r="BU20" s="1583"/>
      <c r="BV20" s="1593"/>
      <c r="BW20" s="1593"/>
      <c r="BX20" s="1605" t="s">
        <v>494</v>
      </c>
      <c r="BY20" s="1605"/>
      <c r="BZ20" s="774" t="s">
        <v>509</v>
      </c>
      <c r="CA20" s="765">
        <f t="shared" si="22"/>
        <v>0</v>
      </c>
      <c r="CB20" s="781">
        <f t="shared" si="23"/>
        <v>92.600000000000023</v>
      </c>
      <c r="CC20" s="782">
        <f t="shared" si="24"/>
        <v>1</v>
      </c>
      <c r="CD20" s="783">
        <f t="shared" si="24"/>
        <v>92.600000000000023</v>
      </c>
      <c r="CE20" s="782">
        <f t="shared" si="25"/>
        <v>0</v>
      </c>
      <c r="CF20" s="782">
        <f t="shared" si="26"/>
        <v>0</v>
      </c>
    </row>
    <row r="21" spans="2:84" s="643" customFormat="1" ht="15" thickBot="1">
      <c r="B21" s="60"/>
      <c r="C21" s="218"/>
      <c r="D21" s="219"/>
      <c r="E21" s="52"/>
      <c r="F21" s="68"/>
      <c r="G21" s="229"/>
      <c r="H21" s="52"/>
      <c r="I21" s="52"/>
      <c r="J21" s="52"/>
      <c r="K21" s="52"/>
      <c r="L21" s="59"/>
      <c r="M21" s="209"/>
      <c r="N21" s="207"/>
      <c r="O21" s="232"/>
      <c r="P21" s="89"/>
      <c r="Q21" s="90"/>
      <c r="R21" s="712"/>
      <c r="S21" s="209"/>
      <c r="T21" s="734" t="s">
        <v>508</v>
      </c>
      <c r="U21" s="739">
        <f>'P2P CF if Unit not available'!AH31</f>
        <v>0</v>
      </c>
      <c r="V21" s="1782"/>
      <c r="W21" s="1782"/>
      <c r="X21" s="1782"/>
      <c r="Y21" s="1789"/>
      <c r="Z21" s="1789"/>
      <c r="AA21" s="734" t="s">
        <v>511</v>
      </c>
      <c r="AB21" s="745">
        <f>C16*F17*N17*Q20*U21</f>
        <v>0</v>
      </c>
      <c r="AC21" s="755">
        <f>100*AB21*SQRT(IF($C$16&gt;0,($D$16/$C$16/100)^2,0)+IF($F$17&gt;0,($G$17/$F$17/100)^2,0)+IF($N$17&gt;0,($O$17/$N$17/100)^2,0)+IF(Q20&gt;0,(R20/Q20/100)^2,0))</f>
        <v>0</v>
      </c>
      <c r="AD21" s="125">
        <f t="shared" si="0"/>
        <v>853</v>
      </c>
      <c r="AE21" s="340">
        <f t="shared" si="1"/>
        <v>75.656474204663084</v>
      </c>
      <c r="AF21" s="119">
        <f>'Part KIU-KU'!V$25</f>
        <v>0.95104949999999999</v>
      </c>
      <c r="AG21" s="295">
        <v>0</v>
      </c>
      <c r="AH21" s="125">
        <f t="shared" ref="AH21" si="29">AD21*AF21</f>
        <v>811.24522349999995</v>
      </c>
      <c r="AI21" s="340">
        <f t="shared" ref="AI21" si="30">AH21*SQRT(IF(AD21&gt;0,(AE21/AD21)^2,0)+IF(AF21&gt;0,(AG21/AF21/100)^2,0))</f>
        <v>71.953051964107715</v>
      </c>
      <c r="AJ21" s="125">
        <v>0</v>
      </c>
      <c r="AK21" s="340"/>
      <c r="AL21" s="117">
        <v>1</v>
      </c>
      <c r="AM21" s="342">
        <v>0</v>
      </c>
      <c r="AN21" s="125">
        <f t="shared" ref="AN21" si="31">AL21*AJ21</f>
        <v>0</v>
      </c>
      <c r="AO21" s="340">
        <f t="shared" ref="AO21" si="32">AN21*SQRT(IF(AJ21&gt;0,(AK21/AJ21)^2,0)+IF(AL21&gt;0,(AM21/AL21/100)^2,0))</f>
        <v>0</v>
      </c>
      <c r="AP21" s="147">
        <f t="shared" ref="AP21" si="33">AH21-AN21</f>
        <v>811.24522349999995</v>
      </c>
      <c r="AQ21" s="753">
        <f t="shared" ref="AQ21" si="34">SQRT(AO21^2+AI21^2)</f>
        <v>71.953051964107715</v>
      </c>
      <c r="AR21" s="147">
        <v>1</v>
      </c>
      <c r="AS21" s="147">
        <f t="shared" ref="AS21" si="35">AP21*AR21</f>
        <v>811.24522349999995</v>
      </c>
      <c r="AT21" s="753">
        <f t="shared" ref="AT21" si="36">AQ21</f>
        <v>71.953051964107715</v>
      </c>
      <c r="AU21" s="147">
        <f t="shared" ref="AU21" si="37">AP21*AB21</f>
        <v>0</v>
      </c>
      <c r="AV21" s="753">
        <f t="shared" ref="AV21" si="38">AU21*SQRT(IF(AB21&gt;0,(AC21/AB21/100)^2,0)+IF(AP21&gt;0,(AQ21/AP21),0))</f>
        <v>0</v>
      </c>
      <c r="AW21" s="147">
        <f t="shared" ref="AW21" si="39">AS21*AB21</f>
        <v>0</v>
      </c>
      <c r="AX21" s="753">
        <f t="shared" ref="AX21" si="40">AW21*SQRT(IF(AS21&gt;0,(AT21/AS21)^2,0)+IF(AB21&gt;0,(AC21/AB21/100)^2,0))</f>
        <v>0</v>
      </c>
      <c r="AY21" s="299">
        <f t="shared" ref="AY21" si="41">IF(AU21&gt;0,AW21/AU21,0)</f>
        <v>0</v>
      </c>
      <c r="AZ21" s="752">
        <f t="shared" ref="AZ21" si="42">AY21*SQRT(IF(AU21&gt;0,(AV21/AU21)^2,0)+IF(AW21&gt;0,(AX21/AW21)^2,0))</f>
        <v>0</v>
      </c>
      <c r="BE21" s="1583"/>
      <c r="BF21" s="1593"/>
      <c r="BG21" s="1594"/>
      <c r="BH21" s="1605"/>
      <c r="BI21" s="1605"/>
      <c r="BJ21" s="774" t="s">
        <v>511</v>
      </c>
      <c r="BK21" s="765">
        <f t="shared" si="14"/>
        <v>0</v>
      </c>
      <c r="BL21" s="766">
        <f t="shared" si="15"/>
        <v>853</v>
      </c>
      <c r="BM21" s="767">
        <f t="shared" si="16"/>
        <v>0.95104949999999999</v>
      </c>
      <c r="BN21" s="766">
        <f t="shared" si="17"/>
        <v>811.24522349999995</v>
      </c>
      <c r="BO21" s="766">
        <f t="shared" si="18"/>
        <v>0</v>
      </c>
      <c r="BP21" s="766">
        <f t="shared" si="19"/>
        <v>1</v>
      </c>
      <c r="BQ21" s="766">
        <f t="shared" si="20"/>
        <v>0</v>
      </c>
      <c r="BR21" s="766">
        <f t="shared" si="21"/>
        <v>811.24522349999995</v>
      </c>
      <c r="BU21" s="1583"/>
      <c r="BV21" s="1593"/>
      <c r="BW21" s="1594"/>
      <c r="BX21" s="1605"/>
      <c r="BY21" s="1605"/>
      <c r="BZ21" s="774" t="s">
        <v>511</v>
      </c>
      <c r="CA21" s="765">
        <f t="shared" si="22"/>
        <v>0</v>
      </c>
      <c r="CB21" s="781">
        <f t="shared" si="23"/>
        <v>811.24522349999995</v>
      </c>
      <c r="CC21" s="782">
        <f t="shared" si="24"/>
        <v>1</v>
      </c>
      <c r="CD21" s="783">
        <f t="shared" si="24"/>
        <v>811.24522349999995</v>
      </c>
      <c r="CE21" s="782">
        <f t="shared" si="25"/>
        <v>0</v>
      </c>
      <c r="CF21" s="782">
        <f t="shared" si="26"/>
        <v>0</v>
      </c>
    </row>
    <row r="22" spans="2:84" ht="15" thickBot="1">
      <c r="B22" s="60"/>
      <c r="C22" s="218"/>
      <c r="D22" s="219"/>
      <c r="E22" s="52"/>
      <c r="F22" s="69"/>
      <c r="G22" s="229"/>
      <c r="H22" s="52"/>
      <c r="I22" s="52"/>
      <c r="J22" s="52"/>
      <c r="K22" s="52"/>
      <c r="L22" s="59"/>
      <c r="M22" s="214" t="s">
        <v>60</v>
      </c>
      <c r="N22" s="211">
        <f>'P2P CF if Unit not available'!Y86/100</f>
        <v>0.32555400000000001</v>
      </c>
      <c r="O22" s="236">
        <f>'P2P CF if Unit not available'!Z86</f>
        <v>8.1945999999999994</v>
      </c>
      <c r="P22" s="48" t="s">
        <v>72</v>
      </c>
      <c r="Q22" s="74">
        <f>'P2P CF if Unit not available'!Y50</f>
        <v>0.11363636363636363</v>
      </c>
      <c r="R22" s="237">
        <f>'P2P CF if Unit not available'!Z50</f>
        <v>0</v>
      </c>
      <c r="S22" s="213" t="s">
        <v>67</v>
      </c>
      <c r="T22" s="740"/>
      <c r="U22" s="740"/>
      <c r="V22" s="1782"/>
      <c r="W22" s="1782"/>
      <c r="X22" s="1786" t="s">
        <v>343</v>
      </c>
      <c r="Y22" s="1787" t="s">
        <v>344</v>
      </c>
      <c r="Z22" s="1787"/>
      <c r="AA22" s="1787"/>
      <c r="AB22" s="746">
        <f>C16*F17*N22*Q22</f>
        <v>1.428270910385657E-2</v>
      </c>
      <c r="AC22" s="756">
        <f>100*AB22*SQRT(IF($C$16&gt;0,($D$16/$C$16/100)^2,0)+IF($F$17&gt;0,($G$17/$F$17/100)^2,0)+IF($N$22&gt;0,($O$22/$N$22/100)^2,0)+IF(Q22&gt;0,(R22/Q22/100)^2,0))</f>
        <v>0.48443295490542432</v>
      </c>
      <c r="AD22" s="125">
        <f t="shared" si="0"/>
        <v>853</v>
      </c>
      <c r="AE22" s="340">
        <f t="shared" si="1"/>
        <v>75.656474204663084</v>
      </c>
      <c r="AF22" s="119">
        <f>'Part KIU-KU'!V$25</f>
        <v>0.95104949999999999</v>
      </c>
      <c r="AG22" s="295">
        <f>'Part KIU-KU'!X$25</f>
        <v>2.2906200000000002E-2</v>
      </c>
      <c r="AH22" s="125">
        <f t="shared" si="3"/>
        <v>811.24522349999995</v>
      </c>
      <c r="AI22" s="340">
        <f t="shared" si="4"/>
        <v>71.953317256101116</v>
      </c>
      <c r="AJ22" s="422">
        <f>$AB$6</f>
        <v>724</v>
      </c>
      <c r="AK22" s="423">
        <f>$AC$6</f>
        <v>120</v>
      </c>
      <c r="AL22" s="119">
        <f>'Part KIU-KU'!V$25</f>
        <v>0.95104949999999999</v>
      </c>
      <c r="AM22" s="295">
        <f>'Part KIU-KU'!J$25</f>
        <v>3.5229200000000002E-2</v>
      </c>
      <c r="AN22" s="125">
        <f t="shared" si="5"/>
        <v>688.55983800000001</v>
      </c>
      <c r="AO22" s="340">
        <f t="shared" si="6"/>
        <v>114.1262250150473</v>
      </c>
      <c r="AP22" s="147">
        <f t="shared" si="7"/>
        <v>122.68538549999994</v>
      </c>
      <c r="AQ22" s="753">
        <f t="shared" si="8"/>
        <v>134.91506624666627</v>
      </c>
      <c r="AR22" s="147">
        <v>1</v>
      </c>
      <c r="AS22" s="147">
        <f t="shared" si="9"/>
        <v>122.68538549999994</v>
      </c>
      <c r="AT22" s="753">
        <f t="shared" si="10"/>
        <v>134.91506624666627</v>
      </c>
      <c r="AU22" s="147">
        <f t="shared" si="11"/>
        <v>1.7522796723910019</v>
      </c>
      <c r="AV22" s="753">
        <f t="shared" si="12"/>
        <v>1.9312654508998459</v>
      </c>
      <c r="AW22" s="147">
        <f t="shared" si="2"/>
        <v>1.7522796723910019</v>
      </c>
      <c r="AX22" s="753">
        <f t="shared" si="13"/>
        <v>2.0165249287495564</v>
      </c>
      <c r="AY22" s="299">
        <f t="shared" si="28"/>
        <v>1</v>
      </c>
      <c r="AZ22" s="752">
        <f t="shared" si="27"/>
        <v>1.5934444279382058</v>
      </c>
      <c r="BE22" s="1583"/>
      <c r="BF22" s="1593"/>
      <c r="BG22" s="1592" t="s">
        <v>343</v>
      </c>
      <c r="BH22" s="1575" t="s">
        <v>344</v>
      </c>
      <c r="BI22" s="1575"/>
      <c r="BJ22" s="1575"/>
      <c r="BK22" s="765">
        <f t="shared" si="14"/>
        <v>1.428270910385657E-2</v>
      </c>
      <c r="BL22" s="766">
        <f t="shared" si="15"/>
        <v>853</v>
      </c>
      <c r="BM22" s="767">
        <f t="shared" si="16"/>
        <v>0.95104949999999999</v>
      </c>
      <c r="BN22" s="766">
        <f t="shared" si="17"/>
        <v>811.24522349999995</v>
      </c>
      <c r="BO22" s="766">
        <f t="shared" si="18"/>
        <v>724</v>
      </c>
      <c r="BP22" s="766">
        <f t="shared" si="19"/>
        <v>0.95104949999999999</v>
      </c>
      <c r="BQ22" s="766">
        <f t="shared" si="20"/>
        <v>688.55983800000001</v>
      </c>
      <c r="BR22" s="766">
        <f t="shared" si="21"/>
        <v>122.68538549999994</v>
      </c>
      <c r="BS22" s="643"/>
      <c r="BU22" s="1583"/>
      <c r="BV22" s="1593"/>
      <c r="BW22" s="1592" t="s">
        <v>343</v>
      </c>
      <c r="BX22" s="1575" t="s">
        <v>344</v>
      </c>
      <c r="BY22" s="1575"/>
      <c r="BZ22" s="1575"/>
      <c r="CA22" s="765">
        <f t="shared" si="22"/>
        <v>1.428270910385657E-2</v>
      </c>
      <c r="CB22" s="781">
        <f t="shared" si="23"/>
        <v>122.68538549999994</v>
      </c>
      <c r="CC22" s="782">
        <f t="shared" si="24"/>
        <v>1</v>
      </c>
      <c r="CD22" s="783">
        <f t="shared" si="24"/>
        <v>122.68538549999994</v>
      </c>
      <c r="CE22" s="782">
        <f t="shared" si="25"/>
        <v>1.7522796723910019</v>
      </c>
      <c r="CF22" s="782">
        <f t="shared" si="26"/>
        <v>1.7522796723910019</v>
      </c>
    </row>
    <row r="23" spans="2:84" ht="15" thickBot="1">
      <c r="B23" s="60"/>
      <c r="C23" s="218"/>
      <c r="D23" s="219"/>
      <c r="E23" s="52"/>
      <c r="F23" s="69"/>
      <c r="G23" s="229"/>
      <c r="H23" s="52"/>
      <c r="I23" s="52"/>
      <c r="J23" s="52"/>
      <c r="K23" s="52"/>
      <c r="L23" s="59"/>
      <c r="M23" s="214"/>
      <c r="N23" s="211"/>
      <c r="O23" s="238"/>
      <c r="P23" s="48" t="s">
        <v>73</v>
      </c>
      <c r="Q23" s="74">
        <f>'P2P CF if Unit not available'!Y51</f>
        <v>6.8181818181818177E-2</v>
      </c>
      <c r="R23" s="237">
        <v>0</v>
      </c>
      <c r="S23" s="214"/>
      <c r="T23" s="740"/>
      <c r="U23" s="740"/>
      <c r="V23" s="1782"/>
      <c r="W23" s="1782"/>
      <c r="X23" s="1786"/>
      <c r="Y23" s="1787" t="s">
        <v>345</v>
      </c>
      <c r="Z23" s="1787"/>
      <c r="AA23" s="1787"/>
      <c r="AB23" s="746">
        <f>C16*F17*N22*Q23</f>
        <v>8.5696254623139415E-3</v>
      </c>
      <c r="AC23" s="756">
        <f>100*AB23*SQRT(IF($C$16&gt;0,($D$16/$C$16/100)^2,0)+IF($F$17&gt;0,($G$17/$F$17/100)^2,0)+IF($N$22&gt;0,($O$22/$N$22/100)^2,0)+IF(Q23&gt;0,(R23/Q23/100)^2,0))</f>
        <v>0.29065977294325457</v>
      </c>
      <c r="AD23" s="125">
        <f t="shared" si="0"/>
        <v>853</v>
      </c>
      <c r="AE23" s="340">
        <f t="shared" si="1"/>
        <v>75.656474204663084</v>
      </c>
      <c r="AF23" s="119">
        <f>'Part KIU-KU'!V$25</f>
        <v>0.95104949999999999</v>
      </c>
      <c r="AG23" s="295">
        <f>'Part KIU-KU'!X$25</f>
        <v>2.2906200000000002E-2</v>
      </c>
      <c r="AH23" s="125">
        <f t="shared" si="3"/>
        <v>811.24522349999995</v>
      </c>
      <c r="AI23" s="340">
        <f t="shared" si="4"/>
        <v>71.953317256101116</v>
      </c>
      <c r="AJ23" s="125">
        <f>$AB$7</f>
        <v>660</v>
      </c>
      <c r="AK23" s="340">
        <f>$AC$7</f>
        <v>92</v>
      </c>
      <c r="AL23" s="119">
        <f>'Part KIU-KU'!V$25</f>
        <v>0.95104949999999999</v>
      </c>
      <c r="AM23" s="295">
        <f>'Part KIU-KU'!J$25</f>
        <v>3.5229200000000002E-2</v>
      </c>
      <c r="AN23" s="125">
        <f t="shared" si="5"/>
        <v>627.69267000000002</v>
      </c>
      <c r="AO23" s="340">
        <f t="shared" si="6"/>
        <v>87.496862938278412</v>
      </c>
      <c r="AP23" s="147">
        <f t="shared" si="7"/>
        <v>183.55255349999993</v>
      </c>
      <c r="AQ23" s="753">
        <f t="shared" si="8"/>
        <v>113.28274753110915</v>
      </c>
      <c r="AR23" s="147">
        <v>1</v>
      </c>
      <c r="AS23" s="147">
        <f t="shared" si="9"/>
        <v>183.55255349999993</v>
      </c>
      <c r="AT23" s="753">
        <f t="shared" si="10"/>
        <v>113.28274753110915</v>
      </c>
      <c r="AU23" s="147">
        <f t="shared" si="11"/>
        <v>1.5729766361463413</v>
      </c>
      <c r="AV23" s="753">
        <f t="shared" si="12"/>
        <v>1.3459820589739362</v>
      </c>
      <c r="AW23" s="147">
        <f t="shared" si="2"/>
        <v>1.5729766361463413</v>
      </c>
      <c r="AX23" s="753">
        <f t="shared" si="13"/>
        <v>1.1077324600806226</v>
      </c>
      <c r="AY23" s="299">
        <f t="shared" si="28"/>
        <v>1</v>
      </c>
      <c r="AZ23" s="752">
        <f t="shared" si="27"/>
        <v>1.108216013127227</v>
      </c>
      <c r="BE23" s="1583"/>
      <c r="BF23" s="1593"/>
      <c r="BG23" s="1593"/>
      <c r="BH23" s="1575" t="s">
        <v>345</v>
      </c>
      <c r="BI23" s="1575"/>
      <c r="BJ23" s="1575"/>
      <c r="BK23" s="765">
        <f t="shared" si="14"/>
        <v>8.5696254623139415E-3</v>
      </c>
      <c r="BL23" s="766">
        <f t="shared" si="15"/>
        <v>853</v>
      </c>
      <c r="BM23" s="767">
        <f t="shared" si="16"/>
        <v>0.95104949999999999</v>
      </c>
      <c r="BN23" s="766">
        <f t="shared" si="17"/>
        <v>811.24522349999995</v>
      </c>
      <c r="BO23" s="766">
        <f t="shared" si="18"/>
        <v>660</v>
      </c>
      <c r="BP23" s="766">
        <f t="shared" si="19"/>
        <v>0.95104949999999999</v>
      </c>
      <c r="BQ23" s="766">
        <f t="shared" si="20"/>
        <v>627.69267000000002</v>
      </c>
      <c r="BR23" s="766">
        <f t="shared" si="21"/>
        <v>183.55255349999993</v>
      </c>
      <c r="BS23" s="643"/>
      <c r="BU23" s="1583"/>
      <c r="BV23" s="1593"/>
      <c r="BW23" s="1593"/>
      <c r="BX23" s="1575" t="s">
        <v>345</v>
      </c>
      <c r="BY23" s="1575"/>
      <c r="BZ23" s="1575"/>
      <c r="CA23" s="765">
        <f t="shared" si="22"/>
        <v>8.5696254623139415E-3</v>
      </c>
      <c r="CB23" s="781">
        <f t="shared" si="23"/>
        <v>183.55255349999993</v>
      </c>
      <c r="CC23" s="782">
        <f t="shared" si="24"/>
        <v>1</v>
      </c>
      <c r="CD23" s="783">
        <f t="shared" si="24"/>
        <v>183.55255349999993</v>
      </c>
      <c r="CE23" s="782">
        <f t="shared" si="25"/>
        <v>1.5729766361463413</v>
      </c>
      <c r="CF23" s="782">
        <f t="shared" si="26"/>
        <v>1.5729766361463413</v>
      </c>
    </row>
    <row r="24" spans="2:84" ht="15" thickBot="1">
      <c r="B24" s="60"/>
      <c r="C24" s="218"/>
      <c r="D24" s="219"/>
      <c r="E24" s="52"/>
      <c r="F24" s="69"/>
      <c r="G24" s="229"/>
      <c r="H24" s="52"/>
      <c r="I24" s="52"/>
      <c r="J24" s="52"/>
      <c r="K24" s="52"/>
      <c r="L24" s="59"/>
      <c r="M24" s="214"/>
      <c r="N24" s="211"/>
      <c r="O24" s="238"/>
      <c r="P24" s="48" t="s">
        <v>74</v>
      </c>
      <c r="Q24" s="74">
        <f>'P2P CF if Unit not available'!Y52</f>
        <v>0.15909090909090909</v>
      </c>
      <c r="R24" s="237">
        <f>'P2P CF if Unit not available'!Z52</f>
        <v>0</v>
      </c>
      <c r="S24" s="214"/>
      <c r="T24" s="740"/>
      <c r="U24" s="740"/>
      <c r="V24" s="1782"/>
      <c r="W24" s="1782"/>
      <c r="X24" s="1786"/>
      <c r="Y24" s="1787" t="s">
        <v>346</v>
      </c>
      <c r="Z24" s="1787"/>
      <c r="AA24" s="1787"/>
      <c r="AB24" s="746">
        <f>C16*F17*N22*Q24</f>
        <v>1.9995792745399199E-2</v>
      </c>
      <c r="AC24" s="756">
        <f>100*AB24*SQRT(IF($C$16&gt;0,($D$16/$C$16/100)^2,0)+IF($F$17&gt;0,($G$17/$F$17/100)^2,0)+IF($N$22&gt;0,($O$22/$N$22/100)^2,0)+IF(Q24&gt;0,(R24/Q24/100)^2,0))</f>
        <v>0.67820613686759412</v>
      </c>
      <c r="AD24" s="125">
        <f t="shared" si="0"/>
        <v>853</v>
      </c>
      <c r="AE24" s="340">
        <f t="shared" si="1"/>
        <v>75.656474204663084</v>
      </c>
      <c r="AF24" s="119">
        <f>'Part KIU-KU'!V$25</f>
        <v>0.95104949999999999</v>
      </c>
      <c r="AG24" s="295">
        <f>'Part KIU-KU'!X$25</f>
        <v>2.2906200000000002E-2</v>
      </c>
      <c r="AH24" s="125">
        <f t="shared" si="3"/>
        <v>811.24522349999995</v>
      </c>
      <c r="AI24" s="340">
        <f t="shared" si="4"/>
        <v>71.953317256101116</v>
      </c>
      <c r="AJ24" s="422">
        <f>AB8</f>
        <v>452</v>
      </c>
      <c r="AK24" s="423"/>
      <c r="AL24" s="119">
        <f>'Part KIU-KU'!V$25</f>
        <v>0.95104949999999999</v>
      </c>
      <c r="AM24" s="295">
        <f>'Part KIU-KU'!J$25</f>
        <v>3.5229200000000002E-2</v>
      </c>
      <c r="AN24" s="125">
        <f t="shared" si="5"/>
        <v>429.87437399999999</v>
      </c>
      <c r="AO24" s="340">
        <f t="shared" si="6"/>
        <v>0.159235984</v>
      </c>
      <c r="AP24" s="147">
        <f t="shared" si="7"/>
        <v>381.37084949999996</v>
      </c>
      <c r="AQ24" s="753">
        <f t="shared" si="8"/>
        <v>71.953493454145359</v>
      </c>
      <c r="AR24" s="147">
        <v>1</v>
      </c>
      <c r="AS24" s="147">
        <f t="shared" si="9"/>
        <v>381.37084949999996</v>
      </c>
      <c r="AT24" s="753">
        <f t="shared" si="10"/>
        <v>71.953493454145359</v>
      </c>
      <c r="AU24" s="147">
        <f t="shared" si="11"/>
        <v>7.6258124657388286</v>
      </c>
      <c r="AV24" s="753">
        <f t="shared" si="12"/>
        <v>4.2025765686585697</v>
      </c>
      <c r="AW24" s="147">
        <f t="shared" si="2"/>
        <v>7.6258124657388286</v>
      </c>
      <c r="AX24" s="753">
        <f t="shared" si="13"/>
        <v>2.9597182797692181</v>
      </c>
      <c r="AY24" s="299">
        <f t="shared" si="28"/>
        <v>1</v>
      </c>
      <c r="AZ24" s="752">
        <f t="shared" si="27"/>
        <v>0.67405182488231008</v>
      </c>
      <c r="BE24" s="1583"/>
      <c r="BF24" s="1593"/>
      <c r="BG24" s="1593"/>
      <c r="BH24" s="1575" t="s">
        <v>346</v>
      </c>
      <c r="BI24" s="1575"/>
      <c r="BJ24" s="1575"/>
      <c r="BK24" s="765">
        <f t="shared" si="14"/>
        <v>1.9995792745399199E-2</v>
      </c>
      <c r="BL24" s="766">
        <f t="shared" si="15"/>
        <v>853</v>
      </c>
      <c r="BM24" s="767">
        <f t="shared" si="16"/>
        <v>0.95104949999999999</v>
      </c>
      <c r="BN24" s="766">
        <f t="shared" si="17"/>
        <v>811.24522349999995</v>
      </c>
      <c r="BO24" s="766">
        <f t="shared" si="18"/>
        <v>452</v>
      </c>
      <c r="BP24" s="766">
        <f t="shared" si="19"/>
        <v>0.95104949999999999</v>
      </c>
      <c r="BQ24" s="766">
        <f t="shared" si="20"/>
        <v>429.87437399999999</v>
      </c>
      <c r="BR24" s="766">
        <f t="shared" si="21"/>
        <v>381.37084949999996</v>
      </c>
      <c r="BS24" s="643"/>
      <c r="BU24" s="1583"/>
      <c r="BV24" s="1593"/>
      <c r="BW24" s="1593"/>
      <c r="BX24" s="1575" t="s">
        <v>346</v>
      </c>
      <c r="BY24" s="1575"/>
      <c r="BZ24" s="1575"/>
      <c r="CA24" s="765">
        <f t="shared" si="22"/>
        <v>1.9995792745399199E-2</v>
      </c>
      <c r="CB24" s="781">
        <f t="shared" si="23"/>
        <v>381.37084949999996</v>
      </c>
      <c r="CC24" s="782">
        <f t="shared" si="24"/>
        <v>1</v>
      </c>
      <c r="CD24" s="783">
        <f t="shared" si="24"/>
        <v>381.37084949999996</v>
      </c>
      <c r="CE24" s="782">
        <f t="shared" si="25"/>
        <v>7.6258124657388286</v>
      </c>
      <c r="CF24" s="782">
        <f t="shared" si="26"/>
        <v>7.6258124657388286</v>
      </c>
    </row>
    <row r="25" spans="2:84" ht="15" thickBot="1">
      <c r="B25" s="60"/>
      <c r="C25" s="218"/>
      <c r="D25" s="219"/>
      <c r="E25" s="54"/>
      <c r="F25" s="70"/>
      <c r="G25" s="239"/>
      <c r="H25" s="54"/>
      <c r="I25" s="54"/>
      <c r="J25" s="54"/>
      <c r="K25" s="54"/>
      <c r="L25" s="58"/>
      <c r="M25" s="215"/>
      <c r="N25" s="212"/>
      <c r="O25" s="240"/>
      <c r="P25" s="49" t="s">
        <v>76</v>
      </c>
      <c r="Q25" s="75">
        <f>'P2P CF if Unit not available'!Y53</f>
        <v>0.65909090909090906</v>
      </c>
      <c r="R25" s="241">
        <f>'P2P CF if Unit not available'!Z53</f>
        <v>0</v>
      </c>
      <c r="S25" s="215"/>
      <c r="T25" s="740"/>
      <c r="U25" s="740"/>
      <c r="V25" s="1782"/>
      <c r="W25" s="1782"/>
      <c r="X25" s="1786"/>
      <c r="Y25" s="1787" t="s">
        <v>347</v>
      </c>
      <c r="Z25" s="1787"/>
      <c r="AA25" s="1787"/>
      <c r="AB25" s="746">
        <f>C16*F17*N22*Q25</f>
        <v>8.2839712802368112E-2</v>
      </c>
      <c r="AC25" s="756">
        <f>100*AB25*SQRT(IF($C$16&gt;0,($D$16/$C$16/100)^2,0)+IF($F$17&gt;0,($G$17/$F$17/100)^2,0)+IF($N$22&gt;0,($O$22/$N$22/100)^2,0)+IF(Q25&gt;0,(R25/Q25/100)^2,0))</f>
        <v>2.809711138451461</v>
      </c>
      <c r="AD25" s="125">
        <f t="shared" si="0"/>
        <v>853</v>
      </c>
      <c r="AE25" s="340">
        <f t="shared" si="1"/>
        <v>75.656474204663084</v>
      </c>
      <c r="AF25" s="119">
        <f>'Part KIU-KU'!V$25</f>
        <v>0.95104949999999999</v>
      </c>
      <c r="AG25" s="295">
        <f>'Part KIU-KU'!X$25</f>
        <v>2.2906200000000002E-2</v>
      </c>
      <c r="AH25" s="125">
        <f t="shared" si="3"/>
        <v>811.24522349999995</v>
      </c>
      <c r="AI25" s="340">
        <f t="shared" si="4"/>
        <v>71.953317256101116</v>
      </c>
      <c r="AJ25" s="125">
        <v>0</v>
      </c>
      <c r="AK25" s="340"/>
      <c r="AL25" s="119">
        <f>'Part KIU-KU'!V$25</f>
        <v>0.95104949999999999</v>
      </c>
      <c r="AM25" s="295">
        <f>'Part KIU-KU'!J$25</f>
        <v>3.5229200000000002E-2</v>
      </c>
      <c r="AN25" s="125">
        <f t="shared" si="5"/>
        <v>0</v>
      </c>
      <c r="AO25" s="340">
        <f t="shared" si="6"/>
        <v>0</v>
      </c>
      <c r="AP25" s="147">
        <f t="shared" si="7"/>
        <v>811.24522349999995</v>
      </c>
      <c r="AQ25" s="753">
        <f t="shared" si="8"/>
        <v>71.953317256101116</v>
      </c>
      <c r="AR25" s="147">
        <v>1</v>
      </c>
      <c r="AS25" s="147">
        <f t="shared" si="9"/>
        <v>811.24522349999995</v>
      </c>
      <c r="AT25" s="753">
        <f t="shared" si="10"/>
        <v>71.953317256101116</v>
      </c>
      <c r="AU25" s="147">
        <f t="shared" si="11"/>
        <v>67.203321327032924</v>
      </c>
      <c r="AV25" s="753">
        <f t="shared" si="12"/>
        <v>30.333512006956372</v>
      </c>
      <c r="AW25" s="147">
        <f t="shared" si="2"/>
        <v>67.203321327032924</v>
      </c>
      <c r="AX25" s="753">
        <f t="shared" si="13"/>
        <v>23.560115038677292</v>
      </c>
      <c r="AY25" s="299">
        <f t="shared" si="28"/>
        <v>1</v>
      </c>
      <c r="AZ25" s="752">
        <f t="shared" si="27"/>
        <v>0.57152450675676947</v>
      </c>
      <c r="BE25" s="1583"/>
      <c r="BF25" s="1594"/>
      <c r="BG25" s="1594"/>
      <c r="BH25" s="1575" t="s">
        <v>347</v>
      </c>
      <c r="BI25" s="1575"/>
      <c r="BJ25" s="1575"/>
      <c r="BK25" s="765">
        <f t="shared" si="14"/>
        <v>8.2839712802368112E-2</v>
      </c>
      <c r="BL25" s="766">
        <f t="shared" si="15"/>
        <v>853</v>
      </c>
      <c r="BM25" s="767">
        <f t="shared" si="16"/>
        <v>0.95104949999999999</v>
      </c>
      <c r="BN25" s="766">
        <f t="shared" si="17"/>
        <v>811.24522349999995</v>
      </c>
      <c r="BO25" s="766">
        <f t="shared" si="18"/>
        <v>0</v>
      </c>
      <c r="BP25" s="766">
        <f t="shared" si="19"/>
        <v>0.95104949999999999</v>
      </c>
      <c r="BQ25" s="766">
        <f t="shared" si="20"/>
        <v>0</v>
      </c>
      <c r="BR25" s="766">
        <f t="shared" si="21"/>
        <v>811.24522349999995</v>
      </c>
      <c r="BS25" s="643"/>
      <c r="BU25" s="1583"/>
      <c r="BV25" s="1594"/>
      <c r="BW25" s="1594"/>
      <c r="BX25" s="1575" t="s">
        <v>347</v>
      </c>
      <c r="BY25" s="1575"/>
      <c r="BZ25" s="1575"/>
      <c r="CA25" s="765">
        <f t="shared" si="22"/>
        <v>8.2839712802368112E-2</v>
      </c>
      <c r="CB25" s="781">
        <f t="shared" si="23"/>
        <v>811.24522349999995</v>
      </c>
      <c r="CC25" s="782">
        <f t="shared" si="24"/>
        <v>1</v>
      </c>
      <c r="CD25" s="783">
        <f t="shared" si="24"/>
        <v>811.24522349999995</v>
      </c>
      <c r="CE25" s="782">
        <f t="shared" si="25"/>
        <v>67.203321327032924</v>
      </c>
      <c r="CF25" s="782">
        <f t="shared" si="26"/>
        <v>67.203321327032924</v>
      </c>
    </row>
    <row r="26" spans="2:84" ht="15.6" thickBot="1">
      <c r="B26" s="60"/>
      <c r="C26" s="218"/>
      <c r="D26" s="219"/>
      <c r="E26" s="242" t="s">
        <v>61</v>
      </c>
      <c r="F26" s="169">
        <f>'Discarder Disposition'!Z15/100</f>
        <v>0.310498</v>
      </c>
      <c r="G26" s="243">
        <f>'Discarder Disposition'!AA15</f>
        <v>9.3009000000000004</v>
      </c>
      <c r="H26" s="231" t="s">
        <v>64</v>
      </c>
      <c r="I26" s="55" t="s">
        <v>54</v>
      </c>
      <c r="J26" s="64">
        <f>SecMktProportions!D6</f>
        <v>42</v>
      </c>
      <c r="K26" s="301" t="e">
        <f>SecMktProportions!#REF!</f>
        <v>#REF!</v>
      </c>
      <c r="L26" s="61" t="s">
        <v>65</v>
      </c>
      <c r="M26" s="201" t="s">
        <v>59</v>
      </c>
      <c r="N26" s="195">
        <f>'Ret CF if Unit not available'!Y82/100</f>
        <v>0.84625399999999995</v>
      </c>
      <c r="O26" s="244">
        <f>'Ret CF if Unit not available'!Z82</f>
        <v>15.6189</v>
      </c>
      <c r="P26" s="93" t="s">
        <v>77</v>
      </c>
      <c r="Q26" s="94">
        <f>'Ret CF if Unit not available'!Y14/100</f>
        <v>0.43255499999999997</v>
      </c>
      <c r="R26" s="245">
        <f>'Ret CF if Unit not available'!Z14</f>
        <v>12.013500000000001</v>
      </c>
      <c r="S26" s="201" t="s">
        <v>67</v>
      </c>
      <c r="T26" s="735"/>
      <c r="U26" s="735"/>
      <c r="V26" s="1782"/>
      <c r="W26" s="1748" t="s">
        <v>88</v>
      </c>
      <c r="X26" s="1748" t="s">
        <v>348</v>
      </c>
      <c r="Y26" s="1748" t="s">
        <v>342</v>
      </c>
      <c r="Z26" s="1750" t="s">
        <v>345</v>
      </c>
      <c r="AA26" s="1750"/>
      <c r="AB26" s="747">
        <f>C16*F26*J26*N26*Q26</f>
        <v>4.2569318308524355</v>
      </c>
      <c r="AC26" s="757" t="e">
        <f>100*AB26*SQRT(IF($C$16&gt;0,($D$16/$C$16/100)^2,0)+IF($F$26&gt;0,($G$26/$F$26/100)^2,0)+IF($J$26&gt;0,($K$26/$J$26/100)^2,0)+IF($N$26&gt;0,($O$26/$N$26/100)^2,0)+IF(Q26&gt;0,(R26/Q26/100)^2,0))</f>
        <v>#REF!</v>
      </c>
      <c r="AD26" s="125">
        <f t="shared" si="0"/>
        <v>853</v>
      </c>
      <c r="AE26" s="340">
        <f t="shared" si="1"/>
        <v>75.656474204663084</v>
      </c>
      <c r="AF26" s="119">
        <v>1</v>
      </c>
      <c r="AG26" s="295">
        <v>0</v>
      </c>
      <c r="AH26" s="125">
        <f t="shared" si="3"/>
        <v>853</v>
      </c>
      <c r="AI26" s="340">
        <f t="shared" si="4"/>
        <v>75.656474204663084</v>
      </c>
      <c r="AJ26" s="125">
        <f>$AB$7</f>
        <v>660</v>
      </c>
      <c r="AK26" s="340">
        <f>$AC$7</f>
        <v>92</v>
      </c>
      <c r="AL26" s="117">
        <v>1</v>
      </c>
      <c r="AM26" s="342">
        <v>0</v>
      </c>
      <c r="AN26" s="125">
        <f t="shared" si="5"/>
        <v>660</v>
      </c>
      <c r="AO26" s="340">
        <f t="shared" si="6"/>
        <v>92</v>
      </c>
      <c r="AP26" s="147">
        <f t="shared" si="7"/>
        <v>193</v>
      </c>
      <c r="AQ26" s="753">
        <f t="shared" si="8"/>
        <v>119.11298035512691</v>
      </c>
      <c r="AR26" s="147">
        <v>1</v>
      </c>
      <c r="AS26" s="147">
        <f t="shared" si="9"/>
        <v>193</v>
      </c>
      <c r="AT26" s="753">
        <f t="shared" si="10"/>
        <v>119.11298035512691</v>
      </c>
      <c r="AU26" s="147">
        <f t="shared" si="11"/>
        <v>821.58784335452003</v>
      </c>
      <c r="AV26" s="753" t="e">
        <f t="shared" si="12"/>
        <v>#REF!</v>
      </c>
      <c r="AW26" s="147">
        <f t="shared" si="2"/>
        <v>821.58784335452003</v>
      </c>
      <c r="AX26" s="753" t="e">
        <f t="shared" si="13"/>
        <v>#REF!</v>
      </c>
      <c r="AY26" s="299">
        <f t="shared" si="28"/>
        <v>1</v>
      </c>
      <c r="AZ26" s="752" t="e">
        <f t="shared" si="27"/>
        <v>#REF!</v>
      </c>
      <c r="BE26" s="1583"/>
      <c r="BF26" s="1592" t="s">
        <v>88</v>
      </c>
      <c r="BG26" s="1583" t="s">
        <v>348</v>
      </c>
      <c r="BH26" s="1592" t="s">
        <v>342</v>
      </c>
      <c r="BI26" s="1584" t="s">
        <v>345</v>
      </c>
      <c r="BJ26" s="1586"/>
      <c r="BK26" s="765">
        <f t="shared" si="14"/>
        <v>4.2569318308524355</v>
      </c>
      <c r="BL26" s="766">
        <f t="shared" si="15"/>
        <v>853</v>
      </c>
      <c r="BM26" s="767">
        <f t="shared" si="16"/>
        <v>1</v>
      </c>
      <c r="BN26" s="766">
        <f t="shared" si="17"/>
        <v>853</v>
      </c>
      <c r="BO26" s="766">
        <f t="shared" si="18"/>
        <v>660</v>
      </c>
      <c r="BP26" s="766">
        <f t="shared" si="19"/>
        <v>1</v>
      </c>
      <c r="BQ26" s="766">
        <f t="shared" si="20"/>
        <v>660</v>
      </c>
      <c r="BR26" s="766">
        <f t="shared" si="21"/>
        <v>193</v>
      </c>
      <c r="BS26" s="643"/>
      <c r="BU26" s="1583"/>
      <c r="BV26" s="1592" t="s">
        <v>88</v>
      </c>
      <c r="BW26" s="1583" t="s">
        <v>348</v>
      </c>
      <c r="BX26" s="1592" t="s">
        <v>342</v>
      </c>
      <c r="BY26" s="1584" t="s">
        <v>345</v>
      </c>
      <c r="BZ26" s="1586"/>
      <c r="CA26" s="765">
        <f t="shared" si="22"/>
        <v>4.2569318308524355</v>
      </c>
      <c r="CB26" s="781">
        <f t="shared" si="23"/>
        <v>193</v>
      </c>
      <c r="CC26" s="782">
        <f t="shared" si="24"/>
        <v>1</v>
      </c>
      <c r="CD26" s="783">
        <f t="shared" si="24"/>
        <v>193</v>
      </c>
      <c r="CE26" s="782">
        <f t="shared" si="25"/>
        <v>821.58784335452003</v>
      </c>
      <c r="CF26" s="782">
        <f t="shared" si="26"/>
        <v>821.58784335452003</v>
      </c>
    </row>
    <row r="27" spans="2:84" ht="15" thickBot="1">
      <c r="B27" s="60"/>
      <c r="C27" s="218"/>
      <c r="D27" s="219"/>
      <c r="E27" s="51"/>
      <c r="F27" s="52"/>
      <c r="G27" s="52"/>
      <c r="H27" s="59"/>
      <c r="I27" s="56"/>
      <c r="J27" s="65"/>
      <c r="K27" s="302"/>
      <c r="L27" s="62"/>
      <c r="M27" s="202"/>
      <c r="N27" s="196"/>
      <c r="O27" s="246"/>
      <c r="P27" s="95" t="s">
        <v>74</v>
      </c>
      <c r="Q27" s="96">
        <f>'Ret CF if Unit not available'!Y15/100</f>
        <v>0.46453499999999998</v>
      </c>
      <c r="R27" s="247">
        <f>'Ret CF if Unit not available'!Z15</f>
        <v>12.1713</v>
      </c>
      <c r="S27" s="202"/>
      <c r="T27" s="735"/>
      <c r="U27" s="735"/>
      <c r="V27" s="1782"/>
      <c r="W27" s="1748"/>
      <c r="X27" s="1748"/>
      <c r="Y27" s="1748"/>
      <c r="Z27" s="1747" t="s">
        <v>346</v>
      </c>
      <c r="AA27" s="1747"/>
      <c r="AB27" s="747">
        <f>C16*F26*J26*N26*Q27</f>
        <v>4.5716586978419764</v>
      </c>
      <c r="AC27" s="757" t="e">
        <f>100*AB27*SQRT(IF($C$16&gt;0,($D$16/$C$16/100)^2,0)+IF($F$26&gt;0,($G$26/$F$26/100)^2,0)+IF($J$26&gt;0,($K$26/$J$26/100)^2,0)+IF($N$26&gt;0,($O$26/$N$26/100)^2,0)+IF(Q27&gt;0,(R27/Q27/100)^2,0))</f>
        <v>#REF!</v>
      </c>
      <c r="AD27" s="125">
        <f t="shared" si="0"/>
        <v>853</v>
      </c>
      <c r="AE27" s="340">
        <f t="shared" si="1"/>
        <v>75.656474204663084</v>
      </c>
      <c r="AF27" s="119">
        <v>1</v>
      </c>
      <c r="AG27" s="295">
        <v>0</v>
      </c>
      <c r="AH27" s="125">
        <f t="shared" si="3"/>
        <v>853</v>
      </c>
      <c r="AI27" s="340">
        <f t="shared" si="4"/>
        <v>75.656474204663084</v>
      </c>
      <c r="AJ27" s="422">
        <f>AB8</f>
        <v>452</v>
      </c>
      <c r="AK27" s="423"/>
      <c r="AL27" s="117">
        <v>1</v>
      </c>
      <c r="AM27" s="342">
        <v>0</v>
      </c>
      <c r="AN27" s="125">
        <f t="shared" si="5"/>
        <v>452</v>
      </c>
      <c r="AO27" s="340">
        <f t="shared" si="6"/>
        <v>0</v>
      </c>
      <c r="AP27" s="147">
        <f t="shared" si="7"/>
        <v>401</v>
      </c>
      <c r="AQ27" s="753">
        <f t="shared" si="8"/>
        <v>75.656474204663084</v>
      </c>
      <c r="AR27" s="147">
        <v>1</v>
      </c>
      <c r="AS27" s="147">
        <f t="shared" si="9"/>
        <v>401</v>
      </c>
      <c r="AT27" s="753">
        <f t="shared" si="10"/>
        <v>75.656474204663084</v>
      </c>
      <c r="AU27" s="147">
        <f t="shared" si="11"/>
        <v>1833.2351378346325</v>
      </c>
      <c r="AV27" s="753" t="e">
        <f t="shared" si="12"/>
        <v>#REF!</v>
      </c>
      <c r="AW27" s="147">
        <f t="shared" si="2"/>
        <v>1833.2351378346325</v>
      </c>
      <c r="AX27" s="753" t="e">
        <f t="shared" si="13"/>
        <v>#REF!</v>
      </c>
      <c r="AY27" s="299">
        <f t="shared" si="28"/>
        <v>1</v>
      </c>
      <c r="AZ27" s="752" t="e">
        <f t="shared" si="27"/>
        <v>#REF!</v>
      </c>
      <c r="BE27" s="1583"/>
      <c r="BF27" s="1593"/>
      <c r="BG27" s="1583"/>
      <c r="BH27" s="1593"/>
      <c r="BI27" s="1587" t="s">
        <v>346</v>
      </c>
      <c r="BJ27" s="1587"/>
      <c r="BK27" s="765">
        <f t="shared" si="14"/>
        <v>4.5716586978419764</v>
      </c>
      <c r="BL27" s="766">
        <f t="shared" si="15"/>
        <v>853</v>
      </c>
      <c r="BM27" s="767">
        <f t="shared" si="16"/>
        <v>1</v>
      </c>
      <c r="BN27" s="766">
        <f t="shared" si="17"/>
        <v>853</v>
      </c>
      <c r="BO27" s="766">
        <f t="shared" si="18"/>
        <v>452</v>
      </c>
      <c r="BP27" s="766">
        <f t="shared" si="19"/>
        <v>1</v>
      </c>
      <c r="BQ27" s="766">
        <f t="shared" si="20"/>
        <v>452</v>
      </c>
      <c r="BR27" s="766">
        <f t="shared" si="21"/>
        <v>401</v>
      </c>
      <c r="BS27" s="643"/>
      <c r="BU27" s="1583"/>
      <c r="BV27" s="1593"/>
      <c r="BW27" s="1583"/>
      <c r="BX27" s="1593"/>
      <c r="BY27" s="1587" t="s">
        <v>346</v>
      </c>
      <c r="BZ27" s="1587"/>
      <c r="CA27" s="765">
        <f t="shared" si="22"/>
        <v>4.5716586978419764</v>
      </c>
      <c r="CB27" s="781">
        <f t="shared" si="23"/>
        <v>401</v>
      </c>
      <c r="CC27" s="782">
        <f t="shared" si="24"/>
        <v>1</v>
      </c>
      <c r="CD27" s="783">
        <f t="shared" si="24"/>
        <v>401</v>
      </c>
      <c r="CE27" s="782">
        <f t="shared" si="25"/>
        <v>1833.2351378346325</v>
      </c>
      <c r="CF27" s="782">
        <f t="shared" si="26"/>
        <v>1833.2351378346325</v>
      </c>
    </row>
    <row r="28" spans="2:84" ht="15" thickBot="1">
      <c r="B28" s="60"/>
      <c r="C28" s="218"/>
      <c r="D28" s="219"/>
      <c r="E28" s="51"/>
      <c r="F28" s="52"/>
      <c r="G28" s="52"/>
      <c r="H28" s="59"/>
      <c r="I28" s="56"/>
      <c r="J28" s="65"/>
      <c r="K28" s="302"/>
      <c r="L28" s="62"/>
      <c r="M28" s="203"/>
      <c r="N28" s="197"/>
      <c r="O28" s="248"/>
      <c r="P28" s="97" t="s">
        <v>75</v>
      </c>
      <c r="Q28" s="98">
        <f>'Ret CF if Unit not available'!Y16/100</f>
        <v>0.102911</v>
      </c>
      <c r="R28" s="249">
        <f>'Ret CF if Unit not available'!Z16</f>
        <v>7.1279000000000003</v>
      </c>
      <c r="S28" s="203"/>
      <c r="T28" s="735" t="s">
        <v>509</v>
      </c>
      <c r="U28" s="741">
        <f>'Ret CF if Unit not available'!W28</f>
        <v>0</v>
      </c>
      <c r="V28" s="1782"/>
      <c r="W28" s="1748"/>
      <c r="X28" s="1748"/>
      <c r="Y28" s="1748"/>
      <c r="Z28" s="1741" t="s">
        <v>495</v>
      </c>
      <c r="AA28" s="735" t="s">
        <v>509</v>
      </c>
      <c r="AB28" s="747">
        <f>C16*F26*J26*N26*Q28*U28</f>
        <v>0</v>
      </c>
      <c r="AC28" s="757" t="e">
        <f>100*AB28*SQRT(IF($C$16&gt;0,($D$16/$C$16/100)^2,0)+IF($F$26&gt;0,($G$26/$F$26/100)^2,0)+IF($J$26&gt;0,($K$26/$J$26/100)^2,0)+IF($N$26&gt;0,($O$26/$N$26/100)^2,0)+IF(Q28&gt;0,(R28/Q28/100)^2,0))</f>
        <v>#REF!</v>
      </c>
      <c r="AD28" s="125">
        <f t="shared" si="0"/>
        <v>853</v>
      </c>
      <c r="AE28" s="340">
        <f t="shared" si="1"/>
        <v>75.656474204663084</v>
      </c>
      <c r="AF28" s="119">
        <v>1</v>
      </c>
      <c r="AG28" s="295">
        <v>0</v>
      </c>
      <c r="AH28" s="125">
        <f t="shared" si="3"/>
        <v>853</v>
      </c>
      <c r="AI28" s="340">
        <f t="shared" si="4"/>
        <v>75.656474204663084</v>
      </c>
      <c r="AJ28" s="125">
        <f>(724*0.6)+(815*0.4)</f>
        <v>760.4</v>
      </c>
      <c r="AK28" s="340">
        <f>$AC$5</f>
        <v>75.656474204663084</v>
      </c>
      <c r="AL28" s="117">
        <v>1</v>
      </c>
      <c r="AM28" s="342">
        <v>0</v>
      </c>
      <c r="AN28" s="125">
        <f t="shared" si="5"/>
        <v>760.4</v>
      </c>
      <c r="AO28" s="340">
        <f t="shared" si="6"/>
        <v>75.656474204663084</v>
      </c>
      <c r="AP28" s="147">
        <f t="shared" si="7"/>
        <v>92.600000000000023</v>
      </c>
      <c r="AQ28" s="753">
        <f t="shared" si="8"/>
        <v>106.99441190156475</v>
      </c>
      <c r="AR28" s="147">
        <v>1</v>
      </c>
      <c r="AS28" s="147">
        <f t="shared" si="9"/>
        <v>92.600000000000023</v>
      </c>
      <c r="AT28" s="753">
        <f t="shared" si="10"/>
        <v>106.99441190156475</v>
      </c>
      <c r="AU28" s="147">
        <f t="shared" si="11"/>
        <v>0</v>
      </c>
      <c r="AV28" s="753">
        <f t="shared" si="12"/>
        <v>0</v>
      </c>
      <c r="AW28" s="147">
        <f t="shared" si="2"/>
        <v>0</v>
      </c>
      <c r="AX28" s="753">
        <f t="shared" si="13"/>
        <v>0</v>
      </c>
      <c r="AY28" s="299">
        <f t="shared" si="28"/>
        <v>0</v>
      </c>
      <c r="AZ28" s="752">
        <f t="shared" si="27"/>
        <v>0</v>
      </c>
      <c r="BE28" s="1583"/>
      <c r="BF28" s="1593"/>
      <c r="BG28" s="1583"/>
      <c r="BH28" s="1593"/>
      <c r="BI28" s="1595" t="s">
        <v>495</v>
      </c>
      <c r="BJ28" s="774" t="s">
        <v>509</v>
      </c>
      <c r="BK28" s="765">
        <f t="shared" si="14"/>
        <v>0</v>
      </c>
      <c r="BL28" s="766">
        <f t="shared" si="15"/>
        <v>853</v>
      </c>
      <c r="BM28" s="767">
        <f t="shared" si="16"/>
        <v>1</v>
      </c>
      <c r="BN28" s="766">
        <f t="shared" si="17"/>
        <v>853</v>
      </c>
      <c r="BO28" s="766">
        <f t="shared" si="18"/>
        <v>760.4</v>
      </c>
      <c r="BP28" s="766">
        <f t="shared" si="19"/>
        <v>1</v>
      </c>
      <c r="BQ28" s="766">
        <f t="shared" si="20"/>
        <v>760.4</v>
      </c>
      <c r="BR28" s="766">
        <f t="shared" si="21"/>
        <v>92.600000000000023</v>
      </c>
      <c r="BS28" s="643"/>
      <c r="BU28" s="1583"/>
      <c r="BV28" s="1593"/>
      <c r="BW28" s="1583"/>
      <c r="BX28" s="1593"/>
      <c r="BY28" s="1595" t="s">
        <v>495</v>
      </c>
      <c r="BZ28" s="774" t="s">
        <v>509</v>
      </c>
      <c r="CA28" s="765">
        <f t="shared" si="22"/>
        <v>0</v>
      </c>
      <c r="CB28" s="781">
        <f t="shared" si="23"/>
        <v>92.600000000000023</v>
      </c>
      <c r="CC28" s="782">
        <f t="shared" si="24"/>
        <v>1</v>
      </c>
      <c r="CD28" s="783">
        <f t="shared" si="24"/>
        <v>92.600000000000023</v>
      </c>
      <c r="CE28" s="782">
        <f t="shared" si="25"/>
        <v>0</v>
      </c>
      <c r="CF28" s="782">
        <f t="shared" si="26"/>
        <v>0</v>
      </c>
    </row>
    <row r="29" spans="2:84" s="643" customFormat="1" ht="15" thickBot="1">
      <c r="B29" s="60"/>
      <c r="C29" s="218"/>
      <c r="D29" s="219"/>
      <c r="E29" s="51"/>
      <c r="F29" s="52"/>
      <c r="G29" s="52"/>
      <c r="H29" s="59"/>
      <c r="I29" s="56"/>
      <c r="J29" s="65"/>
      <c r="K29" s="302"/>
      <c r="L29" s="62"/>
      <c r="M29" s="202"/>
      <c r="N29" s="196"/>
      <c r="O29" s="246"/>
      <c r="P29" s="95"/>
      <c r="Q29" s="96"/>
      <c r="R29" s="247"/>
      <c r="S29" s="202"/>
      <c r="T29" s="735" t="s">
        <v>508</v>
      </c>
      <c r="U29" s="741">
        <f>'Ret CF if Unit not available'!W27</f>
        <v>0</v>
      </c>
      <c r="V29" s="1782"/>
      <c r="W29" s="1748"/>
      <c r="X29" s="1748"/>
      <c r="Y29" s="1748"/>
      <c r="Z29" s="1741"/>
      <c r="AA29" s="735" t="s">
        <v>511</v>
      </c>
      <c r="AB29" s="747">
        <f>C16*F26*J26*N26*Q28*U29</f>
        <v>0</v>
      </c>
      <c r="AC29" s="757" t="e">
        <f>100*AB29*SQRT(IF($C$16&gt;0,($D$16/$C$16/100)^2,0)+IF($F$26&gt;0,($G$26/$F$26/100)^2,0)+IF($J$26&gt;0,($K$26/$J$26/100)^2,0)+IF($N$26&gt;0,($O$26/$N$26/100)^2,0)+IF(Q28&gt;0,(R28/Q28/100)^2,0))</f>
        <v>#REF!</v>
      </c>
      <c r="AD29" s="125">
        <f t="shared" si="0"/>
        <v>853</v>
      </c>
      <c r="AE29" s="340">
        <f t="shared" si="1"/>
        <v>75.656474204663084</v>
      </c>
      <c r="AF29" s="119">
        <f>'Part KIU-KU'!V$25</f>
        <v>0.95104949999999999</v>
      </c>
      <c r="AG29" s="295">
        <v>0</v>
      </c>
      <c r="AH29" s="125">
        <f t="shared" ref="AH29" si="43">AD29*AF29</f>
        <v>811.24522349999995</v>
      </c>
      <c r="AI29" s="340">
        <f t="shared" ref="AI29" si="44">AH29*SQRT(IF(AD29&gt;0,(AE29/AD29)^2,0)+IF(AF29&gt;0,(AG29/AF29/100)^2,0))</f>
        <v>71.953051964107715</v>
      </c>
      <c r="AJ29" s="125">
        <v>0</v>
      </c>
      <c r="AK29" s="340"/>
      <c r="AL29" s="117">
        <v>1</v>
      </c>
      <c r="AM29" s="342">
        <v>0</v>
      </c>
      <c r="AN29" s="125">
        <f t="shared" ref="AN29" si="45">AL29*AJ29</f>
        <v>0</v>
      </c>
      <c r="AO29" s="340">
        <f t="shared" ref="AO29" si="46">AN29*SQRT(IF(AJ29&gt;0,(AK29/AJ29)^2,0)+IF(AL29&gt;0,(AM29/AL29/100)^2,0))</f>
        <v>0</v>
      </c>
      <c r="AP29" s="147">
        <f t="shared" ref="AP29" si="47">AH29-AN29</f>
        <v>811.24522349999995</v>
      </c>
      <c r="AQ29" s="753">
        <f t="shared" ref="AQ29" si="48">SQRT(AO29^2+AI29^2)</f>
        <v>71.953051964107715</v>
      </c>
      <c r="AR29" s="147">
        <v>1</v>
      </c>
      <c r="AS29" s="147">
        <f t="shared" ref="AS29" si="49">AP29*AR29</f>
        <v>811.24522349999995</v>
      </c>
      <c r="AT29" s="753">
        <f t="shared" ref="AT29" si="50">AQ29</f>
        <v>71.953051964107715</v>
      </c>
      <c r="AU29" s="147">
        <f t="shared" ref="AU29" si="51">AP29*AB29</f>
        <v>0</v>
      </c>
      <c r="AV29" s="753">
        <f t="shared" ref="AV29" si="52">AU29*SQRT(IF(AB29&gt;0,(AC29/AB29/100)^2,0)+IF(AP29&gt;0,(AQ29/AP29),0))</f>
        <v>0</v>
      </c>
      <c r="AW29" s="147">
        <f t="shared" ref="AW29" si="53">AS29*AB29</f>
        <v>0</v>
      </c>
      <c r="AX29" s="753">
        <f t="shared" ref="AX29" si="54">AW29*SQRT(IF(AS29&gt;0,(AT29/AS29)^2,0)+IF(AB29&gt;0,(AC29/AB29/100)^2,0))</f>
        <v>0</v>
      </c>
      <c r="AY29" s="299">
        <f t="shared" ref="AY29" si="55">IF(AU29&gt;0,AW29/AU29,0)</f>
        <v>0</v>
      </c>
      <c r="AZ29" s="752">
        <f t="shared" ref="AZ29" si="56">AY29*SQRT(IF(AU29&gt;0,(AV29/AU29)^2,0)+IF(AW29&gt;0,(AX29/AW29)^2,0))</f>
        <v>0</v>
      </c>
      <c r="BE29" s="1583"/>
      <c r="BF29" s="1593"/>
      <c r="BG29" s="1583"/>
      <c r="BH29" s="1594"/>
      <c r="BI29" s="1596"/>
      <c r="BJ29" s="774" t="s">
        <v>511</v>
      </c>
      <c r="BK29" s="765">
        <f t="shared" si="14"/>
        <v>0</v>
      </c>
      <c r="BL29" s="766">
        <f t="shared" si="15"/>
        <v>853</v>
      </c>
      <c r="BM29" s="767">
        <f t="shared" si="16"/>
        <v>0.95104949999999999</v>
      </c>
      <c r="BN29" s="766">
        <f t="shared" si="17"/>
        <v>811.24522349999995</v>
      </c>
      <c r="BO29" s="766">
        <f t="shared" si="18"/>
        <v>0</v>
      </c>
      <c r="BP29" s="766">
        <f t="shared" si="19"/>
        <v>1</v>
      </c>
      <c r="BQ29" s="766">
        <f t="shared" si="20"/>
        <v>0</v>
      </c>
      <c r="BR29" s="766">
        <f t="shared" si="21"/>
        <v>811.24522349999995</v>
      </c>
      <c r="BU29" s="1583"/>
      <c r="BV29" s="1593"/>
      <c r="BW29" s="1583"/>
      <c r="BX29" s="1594"/>
      <c r="BY29" s="1596"/>
      <c r="BZ29" s="774" t="s">
        <v>511</v>
      </c>
      <c r="CA29" s="765">
        <f t="shared" si="22"/>
        <v>0</v>
      </c>
      <c r="CB29" s="781">
        <f t="shared" si="23"/>
        <v>811.24522349999995</v>
      </c>
      <c r="CC29" s="782">
        <f t="shared" si="24"/>
        <v>1</v>
      </c>
      <c r="CD29" s="783">
        <f t="shared" si="24"/>
        <v>811.24522349999995</v>
      </c>
      <c r="CE29" s="782">
        <f t="shared" si="25"/>
        <v>0</v>
      </c>
      <c r="CF29" s="782">
        <f t="shared" si="26"/>
        <v>0</v>
      </c>
    </row>
    <row r="30" spans="2:84" ht="15.6" thickBot="1">
      <c r="B30" s="60"/>
      <c r="C30" s="218"/>
      <c r="D30" s="219"/>
      <c r="E30" s="51"/>
      <c r="F30" s="52"/>
      <c r="G30" s="52"/>
      <c r="H30" s="59"/>
      <c r="I30" s="56"/>
      <c r="J30" s="65"/>
      <c r="K30" s="302"/>
      <c r="L30" s="62"/>
      <c r="M30" s="204" t="s">
        <v>60</v>
      </c>
      <c r="N30" s="198">
        <f>'Ret CF if Unit not available'!Y83/100</f>
        <v>0.15374599999999999</v>
      </c>
      <c r="O30" s="250">
        <f>'Ret CF if Unit not available'!Z83</f>
        <v>15.6189</v>
      </c>
      <c r="P30" s="99" t="s">
        <v>77</v>
      </c>
      <c r="Q30" s="100">
        <f>'Ret CF if Unit not available'!Y44/100</f>
        <v>0.46371200000000001</v>
      </c>
      <c r="R30" s="251">
        <f>'Ret CF if Unit not available'!Z44</f>
        <v>15.8253</v>
      </c>
      <c r="S30" s="204" t="s">
        <v>67</v>
      </c>
      <c r="T30" s="742"/>
      <c r="U30" s="742"/>
      <c r="V30" s="1782"/>
      <c r="W30" s="1748"/>
      <c r="X30" s="1748"/>
      <c r="Y30" s="1788" t="s">
        <v>343</v>
      </c>
      <c r="Z30" s="1783" t="s">
        <v>345</v>
      </c>
      <c r="AA30" s="1783"/>
      <c r="AB30" s="748">
        <f>C16*F26*J26*N30*Q30</f>
        <v>0.8290997514666596</v>
      </c>
      <c r="AC30" s="758" t="e">
        <f>100*AB30*SQRT(IF($C$16&gt;0,($D$16/$C$16/100)^2,0)+IF($F$26&gt;0,($G$26/$F$26/100)^2,0)+IF($J$26&gt;0,($K$26/$J$26/100)^2,0)+IF($N$30&gt;0,($O$30/$N$30/100)^2,0)+IF(Q30&gt;0,(R30/Q30/100)^2,0))</f>
        <v>#REF!</v>
      </c>
      <c r="AD30" s="125">
        <f t="shared" si="0"/>
        <v>853</v>
      </c>
      <c r="AE30" s="340">
        <f t="shared" si="1"/>
        <v>75.656474204663084</v>
      </c>
      <c r="AF30" s="119">
        <f>'Part KIU-KU'!V$25</f>
        <v>0.95104949999999999</v>
      </c>
      <c r="AG30" s="295">
        <f>'Part KIU-KU'!X$25</f>
        <v>2.2906200000000002E-2</v>
      </c>
      <c r="AH30" s="125">
        <f t="shared" si="3"/>
        <v>811.24522349999995</v>
      </c>
      <c r="AI30" s="340">
        <f t="shared" si="4"/>
        <v>71.953317256101116</v>
      </c>
      <c r="AJ30" s="125">
        <f>$AB$7</f>
        <v>660</v>
      </c>
      <c r="AK30" s="340">
        <f>$AC$7</f>
        <v>92</v>
      </c>
      <c r="AL30" s="119">
        <f>'Part KIU-KU'!V$25</f>
        <v>0.95104949999999999</v>
      </c>
      <c r="AM30" s="295">
        <f>'Part KIU-KU'!J$25</f>
        <v>3.5229200000000002E-2</v>
      </c>
      <c r="AN30" s="125">
        <f t="shared" si="5"/>
        <v>627.69267000000002</v>
      </c>
      <c r="AO30" s="340">
        <f t="shared" si="6"/>
        <v>87.496862938278412</v>
      </c>
      <c r="AP30" s="147">
        <f t="shared" si="7"/>
        <v>183.55255349999993</v>
      </c>
      <c r="AQ30" s="753">
        <f t="shared" si="8"/>
        <v>113.28274753110915</v>
      </c>
      <c r="AR30" s="147">
        <v>1</v>
      </c>
      <c r="AS30" s="147">
        <f t="shared" si="9"/>
        <v>183.55255349999993</v>
      </c>
      <c r="AT30" s="753">
        <f t="shared" si="10"/>
        <v>113.28274753110915</v>
      </c>
      <c r="AU30" s="147">
        <f t="shared" si="11"/>
        <v>152.18337648792067</v>
      </c>
      <c r="AV30" s="753" t="e">
        <f t="shared" si="12"/>
        <v>#REF!</v>
      </c>
      <c r="AW30" s="147">
        <f t="shared" si="2"/>
        <v>152.18337648792067</v>
      </c>
      <c r="AX30" s="753" t="e">
        <f t="shared" si="13"/>
        <v>#REF!</v>
      </c>
      <c r="AY30" s="299">
        <f t="shared" si="28"/>
        <v>1</v>
      </c>
      <c r="AZ30" s="752" t="e">
        <f t="shared" si="27"/>
        <v>#REF!</v>
      </c>
      <c r="BE30" s="1583"/>
      <c r="BF30" s="1593"/>
      <c r="BG30" s="1583"/>
      <c r="BH30" s="1597" t="s">
        <v>343</v>
      </c>
      <c r="BI30" s="1600" t="s">
        <v>345</v>
      </c>
      <c r="BJ30" s="1601"/>
      <c r="BK30" s="765">
        <f t="shared" si="14"/>
        <v>0.8290997514666596</v>
      </c>
      <c r="BL30" s="766">
        <f t="shared" si="15"/>
        <v>853</v>
      </c>
      <c r="BM30" s="767">
        <f t="shared" si="16"/>
        <v>0.95104949999999999</v>
      </c>
      <c r="BN30" s="766">
        <f t="shared" si="17"/>
        <v>811.24522349999995</v>
      </c>
      <c r="BO30" s="766">
        <f t="shared" si="18"/>
        <v>660</v>
      </c>
      <c r="BP30" s="766">
        <f t="shared" si="19"/>
        <v>0.95104949999999999</v>
      </c>
      <c r="BQ30" s="766">
        <f t="shared" si="20"/>
        <v>627.69267000000002</v>
      </c>
      <c r="BR30" s="766">
        <f t="shared" si="21"/>
        <v>183.55255349999993</v>
      </c>
      <c r="BS30" s="643"/>
      <c r="BU30" s="1583"/>
      <c r="BV30" s="1593"/>
      <c r="BW30" s="1583"/>
      <c r="BX30" s="1597" t="s">
        <v>343</v>
      </c>
      <c r="BY30" s="1600" t="s">
        <v>345</v>
      </c>
      <c r="BZ30" s="1601"/>
      <c r="CA30" s="765">
        <f t="shared" si="22"/>
        <v>0.8290997514666596</v>
      </c>
      <c r="CB30" s="781">
        <f t="shared" si="23"/>
        <v>183.55255349999993</v>
      </c>
      <c r="CC30" s="782">
        <f t="shared" si="24"/>
        <v>1</v>
      </c>
      <c r="CD30" s="783">
        <f t="shared" si="24"/>
        <v>183.55255349999993</v>
      </c>
      <c r="CE30" s="782">
        <f t="shared" si="25"/>
        <v>152.18337648792067</v>
      </c>
      <c r="CF30" s="782">
        <f t="shared" si="26"/>
        <v>152.18337648792067</v>
      </c>
    </row>
    <row r="31" spans="2:84" ht="15" thickBot="1">
      <c r="B31" s="60"/>
      <c r="C31" s="218"/>
      <c r="D31" s="219"/>
      <c r="E31" s="51"/>
      <c r="F31" s="52"/>
      <c r="G31" s="52"/>
      <c r="H31" s="59"/>
      <c r="I31" s="56"/>
      <c r="J31" s="65"/>
      <c r="K31" s="302"/>
      <c r="L31" s="62"/>
      <c r="M31" s="205"/>
      <c r="N31" s="199"/>
      <c r="O31" s="252"/>
      <c r="P31" s="99" t="s">
        <v>74</v>
      </c>
      <c r="Q31" s="100">
        <f>'Ret CF if Unit not available'!Y45/100</f>
        <v>0.25739299999999998</v>
      </c>
      <c r="R31" s="253">
        <f>'Ret CF if Unit not available'!Z45</f>
        <v>13.586</v>
      </c>
      <c r="S31" s="205"/>
      <c r="T31" s="742"/>
      <c r="U31" s="742"/>
      <c r="V31" s="1782"/>
      <c r="W31" s="1748"/>
      <c r="X31" s="1748"/>
      <c r="Y31" s="1788"/>
      <c r="Z31" s="1783" t="s">
        <v>346</v>
      </c>
      <c r="AA31" s="1783"/>
      <c r="AB31" s="748">
        <f>C16*F26*J26*N30*Q31</f>
        <v>0.4602090787584921</v>
      </c>
      <c r="AC31" s="758" t="e">
        <f>100*AB31*SQRT(IF($C$16&gt;0,($D$16/$C$16/100)^2,0)+IF($F$26&gt;0,($G$26/$F$26/100)^2,0)+IF($J$26&gt;0,($K$26/$J$26/100)^2,0)+IF($N$30&gt;0,($O$30/$N$30/100)^2,0)+IF(Q31&gt;0,(R31/Q31/100)^2,0))</f>
        <v>#REF!</v>
      </c>
      <c r="AD31" s="125">
        <f t="shared" si="0"/>
        <v>853</v>
      </c>
      <c r="AE31" s="340">
        <f t="shared" si="1"/>
        <v>75.656474204663084</v>
      </c>
      <c r="AF31" s="119">
        <f>'Part KIU-KU'!V$25</f>
        <v>0.95104949999999999</v>
      </c>
      <c r="AG31" s="295">
        <f>'Part KIU-KU'!X$25</f>
        <v>2.2906200000000002E-2</v>
      </c>
      <c r="AH31" s="125">
        <f t="shared" si="3"/>
        <v>811.24522349999995</v>
      </c>
      <c r="AI31" s="340">
        <f t="shared" si="4"/>
        <v>71.953317256101116</v>
      </c>
      <c r="AJ31" s="422">
        <f>AB8</f>
        <v>452</v>
      </c>
      <c r="AK31" s="423"/>
      <c r="AL31" s="119">
        <f>'Part KIU-KU'!V$25</f>
        <v>0.95104949999999999</v>
      </c>
      <c r="AM31" s="295">
        <f>'Part KIU-KU'!J$25</f>
        <v>3.5229200000000002E-2</v>
      </c>
      <c r="AN31" s="125">
        <f t="shared" si="5"/>
        <v>429.87437399999999</v>
      </c>
      <c r="AO31" s="340">
        <f t="shared" si="6"/>
        <v>0.159235984</v>
      </c>
      <c r="AP31" s="147">
        <f t="shared" si="7"/>
        <v>381.37084949999996</v>
      </c>
      <c r="AQ31" s="753">
        <f t="shared" si="8"/>
        <v>71.953493454145359</v>
      </c>
      <c r="AR31" s="147">
        <v>1</v>
      </c>
      <c r="AS31" s="147">
        <f t="shared" si="9"/>
        <v>381.37084949999996</v>
      </c>
      <c r="AT31" s="753">
        <f t="shared" si="10"/>
        <v>71.953493454145359</v>
      </c>
      <c r="AU31" s="147">
        <f t="shared" si="11"/>
        <v>175.51032731373851</v>
      </c>
      <c r="AV31" s="753" t="e">
        <f t="shared" si="12"/>
        <v>#REF!</v>
      </c>
      <c r="AW31" s="147">
        <f t="shared" si="2"/>
        <v>175.51032731373851</v>
      </c>
      <c r="AX31" s="753" t="e">
        <f t="shared" si="13"/>
        <v>#REF!</v>
      </c>
      <c r="AY31" s="299">
        <f t="shared" si="28"/>
        <v>1</v>
      </c>
      <c r="AZ31" s="752" t="e">
        <f t="shared" si="27"/>
        <v>#REF!</v>
      </c>
      <c r="BE31" s="1583"/>
      <c r="BF31" s="1593"/>
      <c r="BG31" s="1583"/>
      <c r="BH31" s="1598"/>
      <c r="BI31" s="1587" t="s">
        <v>346</v>
      </c>
      <c r="BJ31" s="1587"/>
      <c r="BK31" s="765">
        <f t="shared" si="14"/>
        <v>0.4602090787584921</v>
      </c>
      <c r="BL31" s="766">
        <f t="shared" si="15"/>
        <v>853</v>
      </c>
      <c r="BM31" s="767">
        <f t="shared" si="16"/>
        <v>0.95104949999999999</v>
      </c>
      <c r="BN31" s="766">
        <f t="shared" si="17"/>
        <v>811.24522349999995</v>
      </c>
      <c r="BO31" s="766">
        <f t="shared" si="18"/>
        <v>452</v>
      </c>
      <c r="BP31" s="766">
        <f t="shared" si="19"/>
        <v>0.95104949999999999</v>
      </c>
      <c r="BQ31" s="766">
        <f t="shared" si="20"/>
        <v>429.87437399999999</v>
      </c>
      <c r="BR31" s="766">
        <f t="shared" si="21"/>
        <v>381.37084949999996</v>
      </c>
      <c r="BS31" s="643"/>
      <c r="BU31" s="1583"/>
      <c r="BV31" s="1593"/>
      <c r="BW31" s="1583"/>
      <c r="BX31" s="1598"/>
      <c r="BY31" s="1587" t="s">
        <v>346</v>
      </c>
      <c r="BZ31" s="1587"/>
      <c r="CA31" s="765">
        <f t="shared" si="22"/>
        <v>0.4602090787584921</v>
      </c>
      <c r="CB31" s="781">
        <f t="shared" si="23"/>
        <v>381.37084949999996</v>
      </c>
      <c r="CC31" s="782">
        <f t="shared" si="24"/>
        <v>1</v>
      </c>
      <c r="CD31" s="783">
        <f t="shared" si="24"/>
        <v>381.37084949999996</v>
      </c>
      <c r="CE31" s="782">
        <f t="shared" si="25"/>
        <v>175.51032731373851</v>
      </c>
      <c r="CF31" s="782">
        <f t="shared" si="26"/>
        <v>175.51032731373851</v>
      </c>
    </row>
    <row r="32" spans="2:84" ht="15" thickBot="1">
      <c r="B32" s="60"/>
      <c r="C32" s="218"/>
      <c r="D32" s="219"/>
      <c r="E32" s="51"/>
      <c r="F32" s="52"/>
      <c r="G32" s="52"/>
      <c r="H32" s="59"/>
      <c r="I32" s="56"/>
      <c r="J32" s="65"/>
      <c r="K32" s="303"/>
      <c r="L32" s="62"/>
      <c r="M32" s="206"/>
      <c r="N32" s="200"/>
      <c r="O32" s="254"/>
      <c r="P32" s="101" t="s">
        <v>75</v>
      </c>
      <c r="Q32" s="102">
        <f>'Ret CF if Unit not available'!Y46/100</f>
        <v>0.278895</v>
      </c>
      <c r="R32" s="255">
        <f>'Ret CF if Unit not available'!Z46</f>
        <v>14.317600000000001</v>
      </c>
      <c r="S32" s="206"/>
      <c r="T32" s="742"/>
      <c r="U32" s="742"/>
      <c r="V32" s="1782"/>
      <c r="W32" s="1748"/>
      <c r="X32" s="1748"/>
      <c r="Y32" s="1788"/>
      <c r="Z32" s="1783" t="s">
        <v>347</v>
      </c>
      <c r="AA32" s="1783"/>
      <c r="AB32" s="748">
        <f>C16*F26*J26*N30*Q32</f>
        <v>0.49865385235942572</v>
      </c>
      <c r="AC32" s="758" t="e">
        <f>100*AB32*SQRT(IF($C$16&gt;0,($D$16/$C$16/100)^2,0)+IF($F$26&gt;0,($G$26/$F$26/100)^2,0)+IF($J$26&gt;0,($K$26/$J$26/100)^2,0)+IF($N$30&gt;0,($O$30/$N$30/100)^2,0)+IF(Q32&gt;0,(R32/Q32/100)^2,0))</f>
        <v>#REF!</v>
      </c>
      <c r="AD32" s="125">
        <f t="shared" si="0"/>
        <v>853</v>
      </c>
      <c r="AE32" s="340">
        <f t="shared" si="1"/>
        <v>75.656474204663084</v>
      </c>
      <c r="AF32" s="119">
        <f>'Part KIU-KU'!V$25</f>
        <v>0.95104949999999999</v>
      </c>
      <c r="AG32" s="295">
        <f>'Part KIU-KU'!X$25</f>
        <v>2.2906200000000002E-2</v>
      </c>
      <c r="AH32" s="125">
        <f t="shared" si="3"/>
        <v>811.24522349999995</v>
      </c>
      <c r="AI32" s="340">
        <f t="shared" si="4"/>
        <v>71.953317256101116</v>
      </c>
      <c r="AJ32" s="125">
        <v>0</v>
      </c>
      <c r="AK32" s="340"/>
      <c r="AL32" s="119">
        <f>'Part KIU-KU'!V$25</f>
        <v>0.95104949999999999</v>
      </c>
      <c r="AM32" s="295">
        <f>'Part KIU-KU'!J$25</f>
        <v>3.5229200000000002E-2</v>
      </c>
      <c r="AN32" s="125">
        <f t="shared" si="5"/>
        <v>0</v>
      </c>
      <c r="AO32" s="340">
        <f t="shared" si="6"/>
        <v>0</v>
      </c>
      <c r="AP32" s="147">
        <f t="shared" si="7"/>
        <v>811.24522349999995</v>
      </c>
      <c r="AQ32" s="753">
        <f t="shared" si="8"/>
        <v>71.953317256101116</v>
      </c>
      <c r="AR32" s="147">
        <v>1</v>
      </c>
      <c r="AS32" s="147">
        <f t="shared" si="9"/>
        <v>811.24522349999995</v>
      </c>
      <c r="AT32" s="753">
        <f t="shared" si="10"/>
        <v>71.953317256101116</v>
      </c>
      <c r="AU32" s="147">
        <f t="shared" si="11"/>
        <v>404.53055590645829</v>
      </c>
      <c r="AV32" s="753" t="e">
        <f t="shared" si="12"/>
        <v>#REF!</v>
      </c>
      <c r="AW32" s="147">
        <f t="shared" si="2"/>
        <v>404.53055590645829</v>
      </c>
      <c r="AX32" s="753" t="e">
        <f t="shared" si="13"/>
        <v>#REF!</v>
      </c>
      <c r="AY32" s="299">
        <f t="shared" si="28"/>
        <v>1</v>
      </c>
      <c r="AZ32" s="752" t="e">
        <f t="shared" si="27"/>
        <v>#REF!</v>
      </c>
      <c r="BE32" s="1583"/>
      <c r="BF32" s="1593"/>
      <c r="BG32" s="1583"/>
      <c r="BH32" s="1599"/>
      <c r="BI32" s="1587" t="s">
        <v>347</v>
      </c>
      <c r="BJ32" s="1587"/>
      <c r="BK32" s="765">
        <f t="shared" si="14"/>
        <v>0.49865385235942572</v>
      </c>
      <c r="BL32" s="766">
        <f t="shared" si="15"/>
        <v>853</v>
      </c>
      <c r="BM32" s="767">
        <f t="shared" si="16"/>
        <v>0.95104949999999999</v>
      </c>
      <c r="BN32" s="766">
        <f t="shared" si="17"/>
        <v>811.24522349999995</v>
      </c>
      <c r="BO32" s="766">
        <f t="shared" si="18"/>
        <v>0</v>
      </c>
      <c r="BP32" s="766">
        <f t="shared" si="19"/>
        <v>0.95104949999999999</v>
      </c>
      <c r="BQ32" s="766">
        <f t="shared" si="20"/>
        <v>0</v>
      </c>
      <c r="BR32" s="766">
        <f t="shared" si="21"/>
        <v>811.24522349999995</v>
      </c>
      <c r="BS32" s="643"/>
      <c r="BU32" s="1583"/>
      <c r="BV32" s="1593"/>
      <c r="BW32" s="1583"/>
      <c r="BX32" s="1599"/>
      <c r="BY32" s="1587" t="s">
        <v>347</v>
      </c>
      <c r="BZ32" s="1587"/>
      <c r="CA32" s="765">
        <f t="shared" si="22"/>
        <v>0.49865385235942572</v>
      </c>
      <c r="CB32" s="781">
        <f t="shared" si="23"/>
        <v>811.24522349999995</v>
      </c>
      <c r="CC32" s="782">
        <f t="shared" si="24"/>
        <v>1</v>
      </c>
      <c r="CD32" s="783">
        <f t="shared" si="24"/>
        <v>811.24522349999995</v>
      </c>
      <c r="CE32" s="782">
        <f t="shared" si="25"/>
        <v>404.53055590645829</v>
      </c>
      <c r="CF32" s="782">
        <f t="shared" si="26"/>
        <v>404.53055590645829</v>
      </c>
    </row>
    <row r="33" spans="2:84" ht="15.6" thickBot="1">
      <c r="B33" s="60"/>
      <c r="C33" s="218"/>
      <c r="D33" s="219"/>
      <c r="E33" s="51"/>
      <c r="F33" s="52"/>
      <c r="G33" s="52"/>
      <c r="H33" s="59"/>
      <c r="I33" s="256" t="s">
        <v>55</v>
      </c>
      <c r="J33" s="66">
        <f>SecMktProportions!D7</f>
        <v>42</v>
      </c>
      <c r="K33" s="304" t="e">
        <f>SecMktProportions!#REF!</f>
        <v>#REF!</v>
      </c>
      <c r="L33" s="63" t="s">
        <v>65</v>
      </c>
      <c r="M33" s="257" t="s">
        <v>59</v>
      </c>
      <c r="N33" s="258">
        <v>1</v>
      </c>
      <c r="O33" s="259"/>
      <c r="P33" s="260"/>
      <c r="Q33" s="261"/>
      <c r="R33" s="259"/>
      <c r="S33" s="260" t="s">
        <v>68</v>
      </c>
      <c r="T33" s="524"/>
      <c r="U33" s="524"/>
      <c r="V33" s="1782"/>
      <c r="W33" s="1748"/>
      <c r="X33" s="1784" t="s">
        <v>342</v>
      </c>
      <c r="Y33" s="1781" t="s">
        <v>349</v>
      </c>
      <c r="Z33" s="1781"/>
      <c r="AA33" s="1781"/>
      <c r="AB33" s="749">
        <f>C16*F26*J33*N33</f>
        <v>11.629328129412</v>
      </c>
      <c r="AC33" s="759" t="e">
        <f>100*AB33*SQRT(IF($C$16&gt;0,($D$16/$C$16/100)^2,0)+IF($F$26&gt;0,($G$26/$F$26/100)^2,0)+IF($J$26&gt;0,($K$26/$J$26/100)^2,0)+IF($N$33&gt;0,($O$33/$N$33/100)^2,0))</f>
        <v>#REF!</v>
      </c>
      <c r="AD33" s="125">
        <f t="shared" si="0"/>
        <v>853</v>
      </c>
      <c r="AE33" s="340">
        <f t="shared" si="1"/>
        <v>75.656474204663084</v>
      </c>
      <c r="AF33" s="119">
        <v>1</v>
      </c>
      <c r="AG33" s="295">
        <v>0</v>
      </c>
      <c r="AH33" s="125">
        <f t="shared" si="3"/>
        <v>853</v>
      </c>
      <c r="AI33" s="340">
        <f t="shared" si="4"/>
        <v>75.656474204663084</v>
      </c>
      <c r="AJ33" s="125">
        <f>$AB$7</f>
        <v>660</v>
      </c>
      <c r="AK33" s="340">
        <f>$AC$7</f>
        <v>92</v>
      </c>
      <c r="AL33" s="117">
        <v>1</v>
      </c>
      <c r="AM33" s="342">
        <v>0</v>
      </c>
      <c r="AN33" s="125">
        <f t="shared" si="5"/>
        <v>660</v>
      </c>
      <c r="AO33" s="340">
        <f t="shared" si="6"/>
        <v>92</v>
      </c>
      <c r="AP33" s="147">
        <f t="shared" si="7"/>
        <v>193</v>
      </c>
      <c r="AQ33" s="753">
        <f t="shared" si="8"/>
        <v>119.11298035512691</v>
      </c>
      <c r="AR33" s="147">
        <v>1</v>
      </c>
      <c r="AS33" s="147">
        <f t="shared" si="9"/>
        <v>193</v>
      </c>
      <c r="AT33" s="753">
        <f t="shared" si="10"/>
        <v>119.11298035512691</v>
      </c>
      <c r="AU33" s="147">
        <f t="shared" si="11"/>
        <v>2244.4603289765159</v>
      </c>
      <c r="AV33" s="753" t="e">
        <f t="shared" si="12"/>
        <v>#REF!</v>
      </c>
      <c r="AW33" s="147">
        <f t="shared" si="2"/>
        <v>2244.4603289765159</v>
      </c>
      <c r="AX33" s="753" t="e">
        <f t="shared" si="13"/>
        <v>#REF!</v>
      </c>
      <c r="AY33" s="299">
        <f t="shared" si="28"/>
        <v>1</v>
      </c>
      <c r="AZ33" s="752" t="e">
        <f t="shared" si="27"/>
        <v>#REF!</v>
      </c>
      <c r="BE33" s="1583"/>
      <c r="BF33" s="1593"/>
      <c r="BG33" s="1583" t="s">
        <v>342</v>
      </c>
      <c r="BH33" s="1584" t="s">
        <v>349</v>
      </c>
      <c r="BI33" s="1585"/>
      <c r="BJ33" s="1586"/>
      <c r="BK33" s="765">
        <f t="shared" si="14"/>
        <v>11.629328129412</v>
      </c>
      <c r="BL33" s="766">
        <f t="shared" si="15"/>
        <v>853</v>
      </c>
      <c r="BM33" s="767">
        <f t="shared" si="16"/>
        <v>1</v>
      </c>
      <c r="BN33" s="766">
        <f t="shared" si="17"/>
        <v>853</v>
      </c>
      <c r="BO33" s="766">
        <f t="shared" si="18"/>
        <v>660</v>
      </c>
      <c r="BP33" s="766">
        <f t="shared" si="19"/>
        <v>1</v>
      </c>
      <c r="BQ33" s="766">
        <f t="shared" si="20"/>
        <v>660</v>
      </c>
      <c r="BR33" s="766">
        <f t="shared" si="21"/>
        <v>193</v>
      </c>
      <c r="BS33" s="643"/>
      <c r="BU33" s="1583"/>
      <c r="BV33" s="1593"/>
      <c r="BW33" s="1583" t="s">
        <v>342</v>
      </c>
      <c r="BX33" s="1584" t="s">
        <v>349</v>
      </c>
      <c r="BY33" s="1585"/>
      <c r="BZ33" s="1586"/>
      <c r="CA33" s="765">
        <f t="shared" si="22"/>
        <v>11.629328129412</v>
      </c>
      <c r="CB33" s="781">
        <f t="shared" si="23"/>
        <v>193</v>
      </c>
      <c r="CC33" s="782">
        <f t="shared" si="24"/>
        <v>1</v>
      </c>
      <c r="CD33" s="783">
        <f t="shared" si="24"/>
        <v>193</v>
      </c>
      <c r="CE33" s="782">
        <f t="shared" si="25"/>
        <v>2244.4603289765159</v>
      </c>
      <c r="CF33" s="782">
        <f t="shared" si="26"/>
        <v>2244.4603289765159</v>
      </c>
    </row>
    <row r="34" spans="2:84" ht="15" thickBot="1">
      <c r="B34" s="60"/>
      <c r="C34" s="218"/>
      <c r="D34" s="219"/>
      <c r="E34" s="51"/>
      <c r="F34" s="52"/>
      <c r="G34" s="52"/>
      <c r="H34" s="59"/>
      <c r="I34" s="256" t="s">
        <v>56</v>
      </c>
      <c r="J34" s="66">
        <f>SecMktProportions!D8</f>
        <v>42</v>
      </c>
      <c r="K34" s="304" t="e">
        <f>SecMktProportions!#REF!</f>
        <v>#REF!</v>
      </c>
      <c r="L34" s="63" t="s">
        <v>65</v>
      </c>
      <c r="M34" s="257" t="s">
        <v>59</v>
      </c>
      <c r="N34" s="258">
        <v>1</v>
      </c>
      <c r="O34" s="259"/>
      <c r="P34" s="260"/>
      <c r="Q34" s="261"/>
      <c r="R34" s="259"/>
      <c r="S34" s="260" t="s">
        <v>68</v>
      </c>
      <c r="T34" s="524"/>
      <c r="U34" s="524"/>
      <c r="V34" s="1782"/>
      <c r="W34" s="1748"/>
      <c r="X34" s="1784"/>
      <c r="Y34" s="1781" t="s">
        <v>350</v>
      </c>
      <c r="Z34" s="1781"/>
      <c r="AA34" s="1781"/>
      <c r="AB34" s="749">
        <f>C16*F26*J34*N34</f>
        <v>11.629328129412</v>
      </c>
      <c r="AC34" s="759" t="e">
        <f>100*AB34*SQRT(IF($C$16&gt;0,($D$16/$C$16/100)^2,0)+IF($F$26&gt;0,($G$26/$F$26/100)^2,0)+IF($J$26&gt;0,($K$26/$J$26/100)^2,0)+IF($N$33&gt;0,($O$33/$N$33/100)^2,0))</f>
        <v>#REF!</v>
      </c>
      <c r="AD34" s="125">
        <f t="shared" si="0"/>
        <v>853</v>
      </c>
      <c r="AE34" s="340">
        <f t="shared" si="1"/>
        <v>75.656474204663084</v>
      </c>
      <c r="AF34" s="119">
        <v>1</v>
      </c>
      <c r="AG34" s="295">
        <v>0</v>
      </c>
      <c r="AH34" s="125">
        <f t="shared" si="3"/>
        <v>853</v>
      </c>
      <c r="AI34" s="340">
        <f t="shared" si="4"/>
        <v>75.656474204663084</v>
      </c>
      <c r="AJ34" s="125">
        <f>$AB$7</f>
        <v>660</v>
      </c>
      <c r="AK34" s="340">
        <f>$AC$7</f>
        <v>92</v>
      </c>
      <c r="AL34" s="117">
        <v>1</v>
      </c>
      <c r="AM34" s="342">
        <v>0</v>
      </c>
      <c r="AN34" s="125">
        <f t="shared" si="5"/>
        <v>660</v>
      </c>
      <c r="AO34" s="340">
        <f t="shared" si="6"/>
        <v>92</v>
      </c>
      <c r="AP34" s="147">
        <f t="shared" si="7"/>
        <v>193</v>
      </c>
      <c r="AQ34" s="753">
        <f t="shared" si="8"/>
        <v>119.11298035512691</v>
      </c>
      <c r="AR34" s="147">
        <v>1</v>
      </c>
      <c r="AS34" s="147">
        <f t="shared" si="9"/>
        <v>193</v>
      </c>
      <c r="AT34" s="753">
        <f t="shared" si="10"/>
        <v>119.11298035512691</v>
      </c>
      <c r="AU34" s="147">
        <f t="shared" si="11"/>
        <v>2244.4603289765159</v>
      </c>
      <c r="AV34" s="753" t="e">
        <f t="shared" si="12"/>
        <v>#REF!</v>
      </c>
      <c r="AW34" s="147">
        <f t="shared" si="2"/>
        <v>2244.4603289765159</v>
      </c>
      <c r="AX34" s="753" t="e">
        <f t="shared" si="13"/>
        <v>#REF!</v>
      </c>
      <c r="AY34" s="299">
        <f t="shared" si="28"/>
        <v>1</v>
      </c>
      <c r="AZ34" s="752" t="e">
        <f t="shared" si="27"/>
        <v>#REF!</v>
      </c>
      <c r="BE34" s="1583"/>
      <c r="BF34" s="1593"/>
      <c r="BG34" s="1583"/>
      <c r="BH34" s="1575" t="s">
        <v>350</v>
      </c>
      <c r="BI34" s="1575"/>
      <c r="BJ34" s="1575"/>
      <c r="BK34" s="765">
        <f t="shared" si="14"/>
        <v>11.629328129412</v>
      </c>
      <c r="BL34" s="766">
        <f t="shared" si="15"/>
        <v>853</v>
      </c>
      <c r="BM34" s="767">
        <f t="shared" si="16"/>
        <v>1</v>
      </c>
      <c r="BN34" s="766">
        <f t="shared" si="17"/>
        <v>853</v>
      </c>
      <c r="BO34" s="766">
        <f t="shared" si="18"/>
        <v>660</v>
      </c>
      <c r="BP34" s="766">
        <f t="shared" si="19"/>
        <v>1</v>
      </c>
      <c r="BQ34" s="766">
        <f t="shared" si="20"/>
        <v>660</v>
      </c>
      <c r="BR34" s="766">
        <f t="shared" si="21"/>
        <v>193</v>
      </c>
      <c r="BS34" s="643"/>
      <c r="BU34" s="1583"/>
      <c r="BV34" s="1593"/>
      <c r="BW34" s="1583"/>
      <c r="BX34" s="1575" t="s">
        <v>350</v>
      </c>
      <c r="BY34" s="1575"/>
      <c r="BZ34" s="1575"/>
      <c r="CA34" s="765">
        <f t="shared" si="22"/>
        <v>11.629328129412</v>
      </c>
      <c r="CB34" s="781">
        <f t="shared" si="23"/>
        <v>193</v>
      </c>
      <c r="CC34" s="782">
        <f t="shared" si="24"/>
        <v>1</v>
      </c>
      <c r="CD34" s="783">
        <f t="shared" si="24"/>
        <v>193</v>
      </c>
      <c r="CE34" s="782">
        <f t="shared" si="25"/>
        <v>2244.4603289765159</v>
      </c>
      <c r="CF34" s="782">
        <f t="shared" si="26"/>
        <v>2244.4603289765159</v>
      </c>
    </row>
    <row r="35" spans="2:84" ht="15" thickBot="1">
      <c r="B35" s="60"/>
      <c r="C35" s="218"/>
      <c r="D35" s="219"/>
      <c r="E35" s="51"/>
      <c r="F35" s="52"/>
      <c r="G35" s="52"/>
      <c r="H35" s="59"/>
      <c r="I35" s="256" t="s">
        <v>57</v>
      </c>
      <c r="J35" s="66">
        <f>SecMktProportions!D9</f>
        <v>42</v>
      </c>
      <c r="K35" s="304" t="e">
        <f>SecMktProportions!#REF!</f>
        <v>#REF!</v>
      </c>
      <c r="L35" s="63" t="s">
        <v>65</v>
      </c>
      <c r="M35" s="257" t="s">
        <v>59</v>
      </c>
      <c r="N35" s="258">
        <v>1</v>
      </c>
      <c r="O35" s="259"/>
      <c r="P35" s="260"/>
      <c r="Q35" s="261"/>
      <c r="R35" s="259"/>
      <c r="S35" s="260" t="s">
        <v>68</v>
      </c>
      <c r="T35" s="524"/>
      <c r="U35" s="524"/>
      <c r="V35" s="1782"/>
      <c r="W35" s="1748"/>
      <c r="X35" s="1784"/>
      <c r="Y35" s="1781" t="s">
        <v>57</v>
      </c>
      <c r="Z35" s="1781"/>
      <c r="AA35" s="1781"/>
      <c r="AB35" s="749">
        <f>C16*F26*J35*N35</f>
        <v>11.629328129412</v>
      </c>
      <c r="AC35" s="759" t="e">
        <f>100*AB35*SQRT(IF($C$16&gt;0,($D$16/$C$16/100)^2,0)+IF($F$26&gt;0,($G$26/$F$26/100)^2,0)+IF($J$26&gt;0,($K$26/$J$26/100)^2,0)+IF($N$33&gt;0,($O$33/$N$33/100)^2,0))</f>
        <v>#REF!</v>
      </c>
      <c r="AD35" s="125">
        <f t="shared" si="0"/>
        <v>853</v>
      </c>
      <c r="AE35" s="340">
        <f t="shared" si="1"/>
        <v>75.656474204663084</v>
      </c>
      <c r="AF35" s="119">
        <v>1</v>
      </c>
      <c r="AG35" s="295">
        <v>0</v>
      </c>
      <c r="AH35" s="125">
        <f t="shared" si="3"/>
        <v>853</v>
      </c>
      <c r="AI35" s="340">
        <f t="shared" si="4"/>
        <v>75.656474204663084</v>
      </c>
      <c r="AJ35" s="125">
        <f>$AB$7</f>
        <v>660</v>
      </c>
      <c r="AK35" s="340">
        <f>$AC$7</f>
        <v>92</v>
      </c>
      <c r="AL35" s="117">
        <v>1</v>
      </c>
      <c r="AM35" s="342">
        <v>0</v>
      </c>
      <c r="AN35" s="125">
        <f t="shared" si="5"/>
        <v>660</v>
      </c>
      <c r="AO35" s="125">
        <f t="shared" si="5"/>
        <v>0</v>
      </c>
      <c r="AP35" s="147">
        <f t="shared" si="7"/>
        <v>193</v>
      </c>
      <c r="AQ35" s="753">
        <f t="shared" si="8"/>
        <v>75.656474204663084</v>
      </c>
      <c r="AR35" s="147">
        <v>1</v>
      </c>
      <c r="AS35" s="147">
        <f t="shared" si="9"/>
        <v>193</v>
      </c>
      <c r="AT35" s="753">
        <f t="shared" si="10"/>
        <v>75.656474204663084</v>
      </c>
      <c r="AU35" s="147">
        <f t="shared" si="11"/>
        <v>2244.4603289765159</v>
      </c>
      <c r="AV35" s="753" t="e">
        <f t="shared" si="12"/>
        <v>#REF!</v>
      </c>
      <c r="AW35" s="147">
        <f t="shared" si="2"/>
        <v>2244.4603289765159</v>
      </c>
      <c r="AX35" s="753" t="e">
        <f t="shared" si="13"/>
        <v>#REF!</v>
      </c>
      <c r="AY35" s="299">
        <f t="shared" si="28"/>
        <v>1</v>
      </c>
      <c r="AZ35" s="752" t="e">
        <f t="shared" si="27"/>
        <v>#REF!</v>
      </c>
      <c r="BE35" s="1583"/>
      <c r="BF35" s="1593"/>
      <c r="BG35" s="1583"/>
      <c r="BH35" s="1575" t="s">
        <v>57</v>
      </c>
      <c r="BI35" s="1575"/>
      <c r="BJ35" s="1575"/>
      <c r="BK35" s="765">
        <f t="shared" si="14"/>
        <v>11.629328129412</v>
      </c>
      <c r="BL35" s="766">
        <f t="shared" si="15"/>
        <v>853</v>
      </c>
      <c r="BM35" s="767">
        <f t="shared" si="16"/>
        <v>1</v>
      </c>
      <c r="BN35" s="766">
        <f t="shared" si="17"/>
        <v>853</v>
      </c>
      <c r="BO35" s="766">
        <f t="shared" si="18"/>
        <v>660</v>
      </c>
      <c r="BP35" s="766">
        <f t="shared" si="19"/>
        <v>1</v>
      </c>
      <c r="BQ35" s="766">
        <f t="shared" si="20"/>
        <v>660</v>
      </c>
      <c r="BR35" s="766">
        <f t="shared" si="21"/>
        <v>193</v>
      </c>
      <c r="BS35" s="643"/>
      <c r="BU35" s="1583"/>
      <c r="BV35" s="1593"/>
      <c r="BW35" s="1583"/>
      <c r="BX35" s="1575" t="s">
        <v>57</v>
      </c>
      <c r="BY35" s="1575"/>
      <c r="BZ35" s="1575"/>
      <c r="CA35" s="765">
        <f t="shared" si="22"/>
        <v>11.629328129412</v>
      </c>
      <c r="CB35" s="781">
        <f t="shared" si="23"/>
        <v>193</v>
      </c>
      <c r="CC35" s="782">
        <f t="shared" si="24"/>
        <v>1</v>
      </c>
      <c r="CD35" s="783">
        <f t="shared" si="24"/>
        <v>193</v>
      </c>
      <c r="CE35" s="782">
        <f t="shared" si="25"/>
        <v>2244.4603289765159</v>
      </c>
      <c r="CF35" s="782">
        <f t="shared" si="26"/>
        <v>2244.4603289765159</v>
      </c>
    </row>
    <row r="36" spans="2:84" ht="15" thickBot="1">
      <c r="B36" s="220"/>
      <c r="C36" s="221"/>
      <c r="D36" s="222"/>
      <c r="E36" s="53"/>
      <c r="F36" s="54"/>
      <c r="G36" s="54"/>
      <c r="H36" s="58"/>
      <c r="I36" s="256" t="s">
        <v>58</v>
      </c>
      <c r="J36" s="66">
        <f>SecMktProportions!D10</f>
        <v>42</v>
      </c>
      <c r="K36" s="304" t="e">
        <f>SecMktProportions!#REF!</f>
        <v>#REF!</v>
      </c>
      <c r="L36" s="63" t="s">
        <v>65</v>
      </c>
      <c r="M36" s="257"/>
      <c r="N36" s="260"/>
      <c r="O36" s="259"/>
      <c r="P36" s="260"/>
      <c r="Q36" s="260"/>
      <c r="R36" s="262"/>
      <c r="S36" s="260"/>
      <c r="T36" s="524"/>
      <c r="U36" s="524"/>
      <c r="V36" s="1782"/>
      <c r="W36" s="1748"/>
      <c r="X36" s="1780" t="s">
        <v>266</v>
      </c>
      <c r="Y36" s="1780"/>
      <c r="Z36" s="1780"/>
      <c r="AA36" s="1780"/>
      <c r="AB36" s="749">
        <f>C16*F26*J36</f>
        <v>11.629328129412</v>
      </c>
      <c r="AC36" s="759" t="e">
        <f>100*AB36*SQRT(IF($C$16&gt;0,($D$16/$C$16/100)^2,0)+IF($F$26&gt;0,($G$26/$F$26/100)^2,0)+IF($J$26&gt;0,($K$26/$J$26/100)^2,0)+IF($N$33&gt;0,($O$33/$N$33/100)^2,0))</f>
        <v>#REF!</v>
      </c>
      <c r="AD36" s="125">
        <f t="shared" si="0"/>
        <v>853</v>
      </c>
      <c r="AE36" s="340">
        <f t="shared" si="1"/>
        <v>75.656474204663084</v>
      </c>
      <c r="AF36" s="522">
        <v>0.99</v>
      </c>
      <c r="AG36" s="342">
        <v>0</v>
      </c>
      <c r="AH36" s="125">
        <v>804</v>
      </c>
      <c r="AI36" s="125">
        <f t="shared" si="4"/>
        <v>71.310439930303772</v>
      </c>
      <c r="AJ36" s="125">
        <v>423</v>
      </c>
      <c r="AK36" s="340"/>
      <c r="AL36" s="522">
        <v>0.99</v>
      </c>
      <c r="AM36" s="342">
        <v>0</v>
      </c>
      <c r="AN36" s="125">
        <v>420</v>
      </c>
      <c r="AO36" s="340">
        <f t="shared" si="6"/>
        <v>0</v>
      </c>
      <c r="AP36" s="147">
        <f t="shared" si="7"/>
        <v>384</v>
      </c>
      <c r="AQ36" s="753">
        <f t="shared" si="8"/>
        <v>71.310439930303772</v>
      </c>
      <c r="AR36" s="147">
        <v>0</v>
      </c>
      <c r="AS36" s="147">
        <f t="shared" si="9"/>
        <v>0</v>
      </c>
      <c r="AT36" s="753">
        <f t="shared" si="10"/>
        <v>71.310439930303772</v>
      </c>
      <c r="AU36" s="147">
        <f t="shared" si="11"/>
        <v>4465.6620016942079</v>
      </c>
      <c r="AV36" s="753" t="e">
        <f t="shared" si="12"/>
        <v>#REF!</v>
      </c>
      <c r="AW36" s="147">
        <f t="shared" si="2"/>
        <v>0</v>
      </c>
      <c r="AX36" s="753" t="e">
        <f t="shared" si="13"/>
        <v>#REF!</v>
      </c>
      <c r="AY36" s="299">
        <f t="shared" si="28"/>
        <v>0</v>
      </c>
      <c r="AZ36" s="752" t="e">
        <f t="shared" si="27"/>
        <v>#REF!</v>
      </c>
      <c r="BE36" s="1583"/>
      <c r="BF36" s="1594"/>
      <c r="BG36" s="1587" t="s">
        <v>266</v>
      </c>
      <c r="BH36" s="1587"/>
      <c r="BI36" s="1587"/>
      <c r="BJ36" s="1587"/>
      <c r="BK36" s="765">
        <f t="shared" si="14"/>
        <v>11.629328129412</v>
      </c>
      <c r="BL36" s="766">
        <f t="shared" si="15"/>
        <v>853</v>
      </c>
      <c r="BM36" s="767">
        <f t="shared" si="16"/>
        <v>0.99</v>
      </c>
      <c r="BN36" s="766">
        <f t="shared" si="17"/>
        <v>804</v>
      </c>
      <c r="BO36" s="766">
        <f t="shared" si="18"/>
        <v>423</v>
      </c>
      <c r="BP36" s="766">
        <f t="shared" si="19"/>
        <v>0.99</v>
      </c>
      <c r="BQ36" s="766">
        <f t="shared" si="20"/>
        <v>420</v>
      </c>
      <c r="BR36" s="766">
        <f t="shared" si="21"/>
        <v>384</v>
      </c>
      <c r="BS36" s="643"/>
      <c r="BU36" s="1583"/>
      <c r="BV36" s="1594"/>
      <c r="BW36" s="1587" t="s">
        <v>266</v>
      </c>
      <c r="BX36" s="1587"/>
      <c r="BY36" s="1587"/>
      <c r="BZ36" s="1587"/>
      <c r="CA36" s="765">
        <f t="shared" si="22"/>
        <v>11.629328129412</v>
      </c>
      <c r="CB36" s="781">
        <f t="shared" si="23"/>
        <v>384</v>
      </c>
      <c r="CC36" s="782">
        <f t="shared" si="24"/>
        <v>0</v>
      </c>
      <c r="CD36" s="783">
        <f t="shared" si="24"/>
        <v>0</v>
      </c>
      <c r="CE36" s="782">
        <f t="shared" si="25"/>
        <v>4465.6620016942079</v>
      </c>
      <c r="CF36" s="782">
        <f t="shared" si="26"/>
        <v>0</v>
      </c>
    </row>
    <row r="37" spans="2:84" ht="15" thickBot="1">
      <c r="AB37" s="419">
        <f>SUM(AB14:AB36)</f>
        <v>57.76993730148925</v>
      </c>
      <c r="AC37" s="524"/>
      <c r="AD37" s="422">
        <f>SUMPRODUCT($AB14:$AB36,AD14:AD36)/SUM(AB14:AB36)</f>
        <v>853</v>
      </c>
      <c r="AE37" s="524"/>
      <c r="AF37" s="119">
        <f>SUMPRODUCT($AB14:$AB36,AF14:AF36)</f>
        <v>57.538229740447079</v>
      </c>
      <c r="AG37" s="524"/>
      <c r="AH37" s="422">
        <f>SUMPRODUCT($AB14:$AB36,AH14:AH36)</f>
        <v>48600.211708628733</v>
      </c>
      <c r="AI37" s="524"/>
      <c r="AJ37" s="422">
        <f>SUMPRODUCT($AB14:$AB36,AJ14:AJ36)</f>
        <v>33913.595681581442</v>
      </c>
      <c r="AK37" s="524"/>
      <c r="AL37" s="119">
        <f>SUMPRODUCT($AB14:$AB36,AL14:AL36)</f>
        <v>57.245582198468462</v>
      </c>
      <c r="AM37" s="524"/>
      <c r="AN37" s="422">
        <f>SUMPRODUCT($AB14:$AB36,AN14:AN36)</f>
        <v>33747.496156032503</v>
      </c>
      <c r="AO37" s="125"/>
      <c r="AP37" s="422">
        <f>SUMPRODUCT($AB14:$AB36,AP14:AP36)</f>
        <v>14852.715552596223</v>
      </c>
      <c r="AQ37" s="524"/>
      <c r="AR37" s="119">
        <f>SUMPRODUCT($AB14:$AB36,AR14:AR36)</f>
        <v>45.911813753858247</v>
      </c>
      <c r="AS37" s="422">
        <f>SUMPRODUCT($AB14:$AB36,AS14:AS36)</f>
        <v>10299.19611030592</v>
      </c>
      <c r="AT37" s="422"/>
      <c r="AU37" s="434">
        <f>SUM(AU14:AU36)</f>
        <v>14852.715552596223</v>
      </c>
      <c r="AV37" s="435" t="e">
        <f>SQRT(AV14^2+AV15^2+AV16^2+AV17^2+AV18^2+AV19^2+AV20^2+AV22^2+AV23^2+AV24^2+AV25^2+AV26^2+AV27^2+AV28^2+AV30^2+AV31^2+AV32^2+AV33^2+AV34^2+AV35^2+AV36^2)</f>
        <v>#REF!</v>
      </c>
      <c r="AW37" s="436">
        <f>SUM(AW14:AW36)</f>
        <v>10299.19611030592</v>
      </c>
      <c r="AX37" s="435" t="e">
        <f>SQRT(AX14^2+AX15^2+AX16^2+AX17^2+AX18^2+AX19^2+AX20^2+AX22^2+AX23^2+AX24^2+AX25^2+AX26^2+AX27^2+AX28^2+AX30^2+AX31^2+AX32^2+AX33^2+AX34^2+AX35^2+AX36^2)</f>
        <v>#REF!</v>
      </c>
      <c r="AY37" s="437">
        <f>AW37/AU37</f>
        <v>0.6934217567039882</v>
      </c>
      <c r="AZ37" s="764" t="e">
        <f>AY37*SQRT(IF(AU37&gt;0,(AV37/AU37)^2,0)+IF(AW37&gt;0,(AX37/AW37)^2,0))</f>
        <v>#REF!</v>
      </c>
      <c r="BE37" s="1792" t="s">
        <v>533</v>
      </c>
      <c r="BF37" s="1793"/>
      <c r="BG37" s="1793"/>
      <c r="BH37" s="1793"/>
      <c r="BI37" s="1793"/>
      <c r="BJ37" s="1793"/>
      <c r="BK37" s="1794"/>
      <c r="BL37" s="784">
        <f>SUMPRODUCT($BK$14:$BK$36,BL14:BL36)</f>
        <v>49277.756518170332</v>
      </c>
      <c r="BM37" s="784">
        <f t="shared" ref="BM37:BR37" si="57">SUMPRODUCT($BK$14:$BK$36,BM14:BM36)</f>
        <v>57.538229740447079</v>
      </c>
      <c r="BN37" s="784">
        <f t="shared" si="57"/>
        <v>48600.211708628733</v>
      </c>
      <c r="BO37" s="784">
        <f t="shared" si="57"/>
        <v>33913.595681581442</v>
      </c>
      <c r="BP37" s="784">
        <f t="shared" si="57"/>
        <v>57.245582198468462</v>
      </c>
      <c r="BQ37" s="784">
        <f t="shared" si="57"/>
        <v>33747.496156032503</v>
      </c>
      <c r="BR37" s="784">
        <f t="shared" si="57"/>
        <v>14852.715552596223</v>
      </c>
      <c r="BS37" s="643"/>
      <c r="BU37" s="1795" t="s">
        <v>541</v>
      </c>
      <c r="BV37" s="1796"/>
      <c r="BW37" s="1796"/>
      <c r="BX37" s="1796"/>
      <c r="BY37" s="1796"/>
      <c r="BZ37" s="1796"/>
      <c r="CA37" s="1796"/>
      <c r="CB37" s="1796"/>
      <c r="CC37" s="1796"/>
      <c r="CD37" s="1797"/>
      <c r="CE37" s="789">
        <f>SUM(CE14:CE36)</f>
        <v>14852.715552596223</v>
      </c>
      <c r="CF37" s="790">
        <f>SUM(CF14:CF36)</f>
        <v>10299.19611030592</v>
      </c>
    </row>
    <row r="38" spans="2:84" ht="15" thickBot="1">
      <c r="BE38" s="643"/>
      <c r="BF38" s="643"/>
      <c r="BG38" s="643"/>
      <c r="BH38" s="643"/>
      <c r="BI38" s="643"/>
      <c r="BJ38" s="331"/>
      <c r="BK38" s="786"/>
      <c r="BL38" s="643"/>
      <c r="BM38" s="643"/>
      <c r="BN38" s="643"/>
      <c r="BO38" s="643"/>
      <c r="BP38" s="643"/>
      <c r="BQ38" s="643"/>
      <c r="BR38" s="643"/>
      <c r="BS38" s="643"/>
      <c r="BU38" s="1795" t="s">
        <v>542</v>
      </c>
      <c r="BV38" s="1796"/>
      <c r="BW38" s="1796"/>
      <c r="BX38" s="1796"/>
      <c r="BY38" s="1796"/>
      <c r="BZ38" s="1796"/>
      <c r="CA38" s="1796"/>
      <c r="CB38" s="1796"/>
      <c r="CC38" s="1796"/>
      <c r="CD38" s="1797"/>
      <c r="CE38" s="1806">
        <f>CF37/CE37</f>
        <v>0.6934217567039882</v>
      </c>
      <c r="CF38" s="1807"/>
    </row>
    <row r="39" spans="2:84">
      <c r="AT39" s="450" t="s">
        <v>278</v>
      </c>
      <c r="AU39" s="451" t="e">
        <f>AV37*AU43</f>
        <v>#REF!</v>
      </c>
      <c r="AV39" s="450" t="s">
        <v>278</v>
      </c>
      <c r="AW39" s="451" t="e">
        <f>AX37*AW43</f>
        <v>#REF!</v>
      </c>
      <c r="AX39" s="450" t="s">
        <v>278</v>
      </c>
      <c r="AY39" s="421" t="e">
        <f>AZ37*AY43</f>
        <v>#REF!</v>
      </c>
      <c r="BA39" s="450"/>
      <c r="BB39" s="419"/>
    </row>
    <row r="40" spans="2:84">
      <c r="AT40" s="11" t="s">
        <v>279</v>
      </c>
      <c r="AU40" s="452" t="e">
        <f>AU37-AU39</f>
        <v>#REF!</v>
      </c>
      <c r="AV40" s="11" t="s">
        <v>279</v>
      </c>
      <c r="AW40" s="452" t="e">
        <f>AW37-AW39</f>
        <v>#REF!</v>
      </c>
      <c r="AX40" s="11" t="s">
        <v>279</v>
      </c>
      <c r="AY40" s="418" t="e">
        <f>AY37-AY39</f>
        <v>#REF!</v>
      </c>
      <c r="BA40" s="421"/>
    </row>
    <row r="41" spans="2:84">
      <c r="O41" s="123"/>
      <c r="AT41" s="11" t="s">
        <v>280</v>
      </c>
      <c r="AU41" s="452" t="e">
        <f>AU37+AU39</f>
        <v>#REF!</v>
      </c>
      <c r="AV41" s="11" t="s">
        <v>280</v>
      </c>
      <c r="AW41" s="452" t="e">
        <f>AW37+AW39</f>
        <v>#REF!</v>
      </c>
      <c r="AX41" s="11" t="s">
        <v>280</v>
      </c>
      <c r="AY41" s="418" t="e">
        <f>AY37+AY39</f>
        <v>#REF!</v>
      </c>
    </row>
    <row r="42" spans="2:84">
      <c r="AT42" s="432" t="s">
        <v>286</v>
      </c>
      <c r="AU42" s="421" t="e">
        <f>AU39/AU37</f>
        <v>#REF!</v>
      </c>
      <c r="AW42" s="421" t="e">
        <f>AW39/AW37</f>
        <v>#REF!</v>
      </c>
      <c r="AY42" s="421" t="e">
        <f>AY39/AY37</f>
        <v>#REF!</v>
      </c>
    </row>
    <row r="43" spans="2:84">
      <c r="AU43" s="11">
        <f>TINV(0.1,AU45)</f>
        <v>1.6638839129226006</v>
      </c>
      <c r="AW43" s="11">
        <f>TINV(0.1,AU45)</f>
        <v>1.6638839129226006</v>
      </c>
      <c r="AY43" s="11">
        <f>TINV(0.1,AY45)</f>
        <v>1.7530503556925723</v>
      </c>
    </row>
    <row r="44" spans="2:84">
      <c r="D44" s="42"/>
      <c r="E44" s="42"/>
    </row>
    <row r="45" spans="2:84">
      <c r="AT45" s="138" t="s">
        <v>281</v>
      </c>
      <c r="AU45" s="11">
        <v>81</v>
      </c>
      <c r="AY45" s="11">
        <v>15</v>
      </c>
    </row>
    <row r="51" spans="26:30" ht="15" thickBot="1">
      <c r="AB51" s="11" t="s">
        <v>115</v>
      </c>
      <c r="AC51" s="11" t="s">
        <v>328</v>
      </c>
      <c r="AD51" s="11" t="s">
        <v>329</v>
      </c>
    </row>
    <row r="52" spans="26:30" ht="15" thickBot="1">
      <c r="Z52" s="73" t="s">
        <v>132</v>
      </c>
      <c r="AA52" s="218"/>
      <c r="AB52" s="1808" t="s">
        <v>330</v>
      </c>
    </row>
    <row r="53" spans="26:30" ht="15" thickBot="1">
      <c r="Z53" s="73" t="s">
        <v>49</v>
      </c>
      <c r="AA53" s="218"/>
      <c r="AB53" s="1808"/>
    </row>
    <row r="54" spans="26:30" ht="15" thickBot="1">
      <c r="Z54" s="267" t="s">
        <v>133</v>
      </c>
      <c r="AA54" s="736"/>
      <c r="AB54" s="1808"/>
    </row>
    <row r="55" spans="26:30">
      <c r="Z55" s="11" t="s">
        <v>326</v>
      </c>
      <c r="AB55" s="1808"/>
    </row>
    <row r="56" spans="26:30">
      <c r="Z56" s="11" t="s">
        <v>327</v>
      </c>
      <c r="AB56" s="1808"/>
    </row>
  </sheetData>
  <customSheetViews>
    <customSheetView guid="{7E8F70E7-08A0-442B-A100-F92E13F1F337}" scale="85" hiddenColumns="1" topLeftCell="Z15">
      <selection activeCell="AD20" sqref="AD20"/>
      <pageMargins left="0.7" right="0.7" top="0.75" bottom="0.75" header="0.3" footer="0.3"/>
      <pageSetup orientation="portrait" r:id="rId1"/>
    </customSheetView>
    <customSheetView guid="{223C1DCA-941C-47FC-83AC-426B3DB3086A}">
      <selection activeCell="K7" sqref="K7"/>
      <pageMargins left="0.7" right="0.7" top="0.75" bottom="0.75" header="0.3" footer="0.3"/>
      <pageSetup orientation="portrait" r:id="rId2"/>
    </customSheetView>
    <customSheetView guid="{BA0BA4AB-C6A1-41FF-8782-C05227E92BEB}" topLeftCell="V4">
      <selection activeCell="W14" sqref="W14"/>
      <pageMargins left="0.7" right="0.7" top="0.75" bottom="0.75" header="0.3" footer="0.3"/>
      <pageSetup orientation="portrait" r:id="rId3"/>
    </customSheetView>
    <customSheetView guid="{52F27401-6741-4136-9223-9843499AE81D}" scale="85" hiddenColumns="1" topLeftCell="AY10">
      <selection activeCell="BR37" sqref="BE12:BR37"/>
      <pageMargins left="0.7" right="0.7" top="0.75" bottom="0.75" header="0.3" footer="0.3"/>
      <pageSetup orientation="portrait" r:id="rId4"/>
    </customSheetView>
  </customSheetViews>
  <mergeCells count="98">
    <mergeCell ref="AB52:AB56"/>
    <mergeCell ref="V17:V36"/>
    <mergeCell ref="W17:W25"/>
    <mergeCell ref="X22:X25"/>
    <mergeCell ref="W26:W36"/>
    <mergeCell ref="X33:X35"/>
    <mergeCell ref="X17:X21"/>
    <mergeCell ref="Y20:Z21"/>
    <mergeCell ref="Y17:AA17"/>
    <mergeCell ref="Y18:AA18"/>
    <mergeCell ref="Y19:AA19"/>
    <mergeCell ref="X36:AA36"/>
    <mergeCell ref="Y33:AA33"/>
    <mergeCell ref="Y34:AA34"/>
    <mergeCell ref="Y35:AA35"/>
    <mergeCell ref="X26:X32"/>
    <mergeCell ref="Y26:Y29"/>
    <mergeCell ref="Y30:Y32"/>
    <mergeCell ref="Z31:AA31"/>
    <mergeCell ref="Z32:AA32"/>
    <mergeCell ref="Z28:Z29"/>
    <mergeCell ref="Z26:AA26"/>
    <mergeCell ref="Z27:AA27"/>
    <mergeCell ref="Z30:AA30"/>
    <mergeCell ref="BH22:BJ22"/>
    <mergeCell ref="BH23:BJ23"/>
    <mergeCell ref="Y22:AA22"/>
    <mergeCell ref="BH25:BJ25"/>
    <mergeCell ref="V12:AA12"/>
    <mergeCell ref="Y25:AA25"/>
    <mergeCell ref="V15:AA15"/>
    <mergeCell ref="V14:AA14"/>
    <mergeCell ref="V16:AA16"/>
    <mergeCell ref="Y24:AA24"/>
    <mergeCell ref="BH33:BJ33"/>
    <mergeCell ref="BH34:BJ34"/>
    <mergeCell ref="Y23:AA23"/>
    <mergeCell ref="BG36:BJ36"/>
    <mergeCell ref="BE12:BJ13"/>
    <mergeCell ref="BE14:BJ14"/>
    <mergeCell ref="BE15:BJ15"/>
    <mergeCell ref="BE16:BJ16"/>
    <mergeCell ref="BE17:BE36"/>
    <mergeCell ref="BF17:BF25"/>
    <mergeCell ref="BG17:BG21"/>
    <mergeCell ref="BH17:BJ17"/>
    <mergeCell ref="BH18:BJ18"/>
    <mergeCell ref="BH19:BJ19"/>
    <mergeCell ref="BH20:BI21"/>
    <mergeCell ref="BG22:BG25"/>
    <mergeCell ref="BX24:BZ24"/>
    <mergeCell ref="BX25:BZ25"/>
    <mergeCell ref="BH24:BJ24"/>
    <mergeCell ref="BE37:BK37"/>
    <mergeCell ref="CE38:CF38"/>
    <mergeCell ref="BF26:BF36"/>
    <mergeCell ref="BG26:BG32"/>
    <mergeCell ref="BH26:BH29"/>
    <mergeCell ref="BI26:BJ26"/>
    <mergeCell ref="BI27:BJ27"/>
    <mergeCell ref="BI28:BI29"/>
    <mergeCell ref="BH30:BH32"/>
    <mergeCell ref="BI30:BJ30"/>
    <mergeCell ref="BI31:BJ31"/>
    <mergeCell ref="BI32:BJ32"/>
    <mergeCell ref="BG33:BG35"/>
    <mergeCell ref="BX35:BZ35"/>
    <mergeCell ref="BW36:BZ36"/>
    <mergeCell ref="BH35:BJ35"/>
    <mergeCell ref="BU14:BZ14"/>
    <mergeCell ref="BU15:BZ15"/>
    <mergeCell ref="BU16:BZ16"/>
    <mergeCell ref="BU17:BU36"/>
    <mergeCell ref="BV17:BV25"/>
    <mergeCell ref="BW17:BW21"/>
    <mergeCell ref="BX17:BZ17"/>
    <mergeCell ref="BX18:BZ18"/>
    <mergeCell ref="BX19:BZ19"/>
    <mergeCell ref="BX20:BY21"/>
    <mergeCell ref="BW22:BW25"/>
    <mergeCell ref="BX22:BZ22"/>
    <mergeCell ref="BX23:BZ23"/>
    <mergeCell ref="BU37:CD37"/>
    <mergeCell ref="BU38:CD38"/>
    <mergeCell ref="BU12:BZ13"/>
    <mergeCell ref="BV26:BV36"/>
    <mergeCell ref="BW26:BW32"/>
    <mergeCell ref="BX26:BX29"/>
    <mergeCell ref="BY26:BZ26"/>
    <mergeCell ref="BY27:BZ27"/>
    <mergeCell ref="BY28:BY29"/>
    <mergeCell ref="BX30:BX32"/>
    <mergeCell ref="BY30:BZ30"/>
    <mergeCell ref="BY31:BZ31"/>
    <mergeCell ref="BY32:BZ32"/>
    <mergeCell ref="BW33:BW35"/>
    <mergeCell ref="BX33:BZ33"/>
    <mergeCell ref="BX34:BZ34"/>
  </mergeCells>
  <pageMargins left="0.7" right="0.7" top="0.75" bottom="0.75" header="0.3" footer="0.3"/>
  <pageSetup scale="13" orientation="landscape"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W89"/>
  <sheetViews>
    <sheetView showWhiteSpace="0" topLeftCell="H1" zoomScale="90" zoomScaleNormal="90" workbookViewId="0">
      <selection activeCell="O50" sqref="O50"/>
    </sheetView>
  </sheetViews>
  <sheetFormatPr defaultColWidth="9.109375" defaultRowHeight="14.4" outlineLevelRow="1" outlineLevelCol="1"/>
  <cols>
    <col min="1" max="3" width="16.44140625" style="916" customWidth="1"/>
    <col min="4" max="4" width="18.33203125" style="916" customWidth="1"/>
    <col min="5" max="5" width="24.33203125" style="916" customWidth="1"/>
    <col min="6" max="6" width="38" style="916" customWidth="1"/>
    <col min="7" max="7" width="11" style="916" customWidth="1"/>
    <col min="8" max="8" width="11.88671875" style="916" customWidth="1" outlineLevel="1"/>
    <col min="9" max="9" width="6.6640625" style="916" customWidth="1"/>
    <col min="10" max="10" width="16.88671875" style="916" customWidth="1" outlineLevel="1"/>
    <col min="11" max="11" width="21.109375" style="916" customWidth="1"/>
    <col min="12" max="12" width="14.109375" style="916" customWidth="1" outlineLevel="1"/>
    <col min="13" max="13" width="8" style="916" customWidth="1"/>
    <col min="14" max="14" width="10.109375" style="916" customWidth="1" outlineLevel="1"/>
    <col min="15" max="15" width="10.109375" style="916" customWidth="1"/>
    <col min="16" max="16" width="7.6640625" style="916" customWidth="1" outlineLevel="1"/>
    <col min="17" max="17" width="10.44140625" style="916" customWidth="1"/>
    <col min="18" max="18" width="7.6640625" style="916" customWidth="1" outlineLevel="1"/>
    <col min="19" max="19" width="10.109375" style="916" customWidth="1"/>
    <col min="20" max="20" width="12.5546875" style="916" customWidth="1" outlineLevel="1"/>
    <col min="21" max="21" width="8.88671875" style="916" customWidth="1"/>
    <col min="22" max="22" width="8.88671875" style="916" customWidth="1" outlineLevel="1"/>
    <col min="23" max="24" width="8.88671875" style="916" customWidth="1"/>
    <col min="25" max="25" width="8.88671875" style="916" customWidth="1" outlineLevel="1"/>
    <col min="26" max="26" width="8.88671875" style="916" customWidth="1"/>
    <col min="27" max="27" width="8.88671875" style="916" customWidth="1" outlineLevel="1"/>
    <col min="28" max="28" width="14.5546875" style="916" customWidth="1"/>
    <col min="29" max="29" width="14.109375" style="916" customWidth="1" outlineLevel="1"/>
    <col min="30" max="30" width="13.33203125" style="916" bestFit="1" customWidth="1"/>
    <col min="31" max="31" width="32.109375" style="916" customWidth="1" outlineLevel="1"/>
    <col min="32" max="32" width="4.6640625" style="916" bestFit="1" customWidth="1"/>
    <col min="33" max="33" width="9.109375" style="916"/>
    <col min="34" max="34" width="5.6640625" style="916" bestFit="1" customWidth="1"/>
    <col min="35" max="35" width="13.88671875" style="916" bestFit="1" customWidth="1"/>
    <col min="36" max="36" width="3.44140625" style="916" bestFit="1" customWidth="1"/>
    <col min="37" max="37" width="9.5546875" style="916" bestFit="1" customWidth="1"/>
    <col min="38" max="38" width="10" style="916" bestFit="1" customWidth="1"/>
    <col min="39" max="39" width="10.6640625" style="916" bestFit="1" customWidth="1"/>
    <col min="40" max="40" width="12.6640625" style="331" bestFit="1" customWidth="1"/>
    <col min="41" max="41" width="5.6640625" style="916" bestFit="1" customWidth="1"/>
    <col min="42" max="42" width="7" style="916" bestFit="1" customWidth="1"/>
    <col min="43" max="43" width="7.33203125" style="916" bestFit="1" customWidth="1"/>
    <col min="44" max="44" width="12.44140625" style="916" bestFit="1" customWidth="1"/>
    <col min="45" max="45" width="13.33203125" style="916" bestFit="1" customWidth="1"/>
    <col min="46" max="46" width="5.44140625" style="916" bestFit="1" customWidth="1"/>
    <col min="47" max="47" width="6.6640625" style="916" bestFit="1" customWidth="1"/>
    <col min="48" max="48" width="8.6640625" style="916" bestFit="1" customWidth="1"/>
    <col min="49" max="49" width="9.109375" style="916" hidden="1" customWidth="1"/>
    <col min="50" max="70" width="9.109375" style="916"/>
    <col min="71" max="71" width="23.109375" style="916" customWidth="1"/>
    <col min="72" max="16384" width="9.109375" style="916"/>
  </cols>
  <sheetData>
    <row r="1" spans="1:40">
      <c r="AN1" s="916"/>
    </row>
    <row r="2" spans="1:40" ht="96.75" customHeight="1">
      <c r="AN2" s="916"/>
    </row>
    <row r="3" spans="1:40" ht="15" thickBot="1">
      <c r="A3" s="916" t="s">
        <v>63</v>
      </c>
      <c r="E3" s="486" t="s">
        <v>299</v>
      </c>
      <c r="F3" s="486"/>
      <c r="G3" s="486" t="s">
        <v>294</v>
      </c>
      <c r="H3" s="488" t="s">
        <v>293</v>
      </c>
      <c r="AN3" s="916"/>
    </row>
    <row r="4" spans="1:40" ht="15" thickBot="1">
      <c r="A4" s="43"/>
      <c r="B4" s="916" t="s">
        <v>66</v>
      </c>
      <c r="E4" s="485" t="s">
        <v>198</v>
      </c>
      <c r="F4" s="485"/>
      <c r="G4" s="487">
        <f>'Gross UECs'!D$3</f>
        <v>1035.9927015759845</v>
      </c>
      <c r="H4" s="489">
        <f>'Gross UECs'!I$3</f>
        <v>68.711769825167252</v>
      </c>
      <c r="AN4" s="916"/>
    </row>
    <row r="5" spans="1:40" ht="15" customHeight="1" thickBot="1">
      <c r="A5" s="44"/>
      <c r="B5" s="916" t="s">
        <v>69</v>
      </c>
      <c r="E5" s="485" t="s">
        <v>211</v>
      </c>
      <c r="F5" s="485"/>
      <c r="G5" s="487">
        <f>'Gross UECs'!D$14</f>
        <v>791</v>
      </c>
      <c r="H5" s="489">
        <f>'Gross UECs'!I$14</f>
        <v>98</v>
      </c>
      <c r="AN5" s="916"/>
    </row>
    <row r="6" spans="1:40" ht="15" thickBot="1">
      <c r="A6" s="45"/>
      <c r="B6" s="916" t="s">
        <v>70</v>
      </c>
      <c r="E6" s="485" t="s">
        <v>212</v>
      </c>
      <c r="F6" s="485"/>
      <c r="G6" s="487">
        <f>'Gross UECs'!D$25</f>
        <v>783</v>
      </c>
      <c r="H6" s="489">
        <f>'Gross UECs'!I$25</f>
        <v>106</v>
      </c>
      <c r="AN6" s="916"/>
    </row>
    <row r="7" spans="1:40" ht="15" customHeight="1" thickBot="1">
      <c r="A7" s="46"/>
      <c r="B7" s="47" t="s">
        <v>71</v>
      </c>
      <c r="E7" s="485" t="s">
        <v>295</v>
      </c>
      <c r="F7" s="485"/>
      <c r="G7" s="655">
        <f>452</f>
        <v>452</v>
      </c>
      <c r="H7" s="489">
        <v>0</v>
      </c>
      <c r="I7" s="916" t="s">
        <v>411</v>
      </c>
      <c r="AN7" s="916"/>
    </row>
    <row r="8" spans="1:40">
      <c r="E8" s="138"/>
      <c r="F8" s="138"/>
      <c r="G8" s="526"/>
      <c r="AN8" s="916"/>
    </row>
    <row r="9" spans="1:40" ht="18" customHeight="1">
      <c r="G9" s="916" t="e">
        <f>SQRT(IF(#REF!&gt;0,(#REF!/100)^2,0)+IF(#REF!&gt;0,(#REF!/100)^2,0))</f>
        <v>#REF!</v>
      </c>
      <c r="I9" s="916">
        <f>100*((G14*(1-G14))/234)^0.5</f>
        <v>2.2464435417386421</v>
      </c>
      <c r="AN9" s="916"/>
    </row>
    <row r="10" spans="1:40" ht="12" customHeight="1">
      <c r="I10" s="916">
        <f>100*((G15*(1-G15))/234)^0.5</f>
        <v>0.98045808085504937</v>
      </c>
      <c r="AN10" s="916"/>
    </row>
    <row r="11" spans="1:40" ht="23.25" customHeight="1">
      <c r="AN11" s="916"/>
    </row>
    <row r="12" spans="1:40" s="331" customFormat="1" ht="154.5" customHeight="1">
      <c r="A12" s="1756" t="s">
        <v>331</v>
      </c>
      <c r="B12" s="1756"/>
      <c r="C12" s="1756"/>
      <c r="D12" s="1756"/>
      <c r="E12" s="1756"/>
      <c r="F12" s="1757"/>
      <c r="G12" s="401" t="s">
        <v>113</v>
      </c>
      <c r="H12" s="223" t="str">
        <f>"SE of "&amp;G12</f>
        <v>SE of Proportion of program units in this path</v>
      </c>
      <c r="I12" s="114" t="s">
        <v>115</v>
      </c>
      <c r="J12" s="856" t="str">
        <f>"SE of "&amp;I12</f>
        <v>SE of Gross Full Year Consumption</v>
      </c>
      <c r="K12" s="114" t="s">
        <v>102</v>
      </c>
      <c r="L12" s="856" t="str">
        <f>"SE of "&amp;K12</f>
        <v>SE of  Baseline Usage factor</v>
      </c>
      <c r="M12" s="114" t="s">
        <v>125</v>
      </c>
      <c r="N12" s="856" t="str">
        <f>"SE of "&amp;M12</f>
        <v>SE of Gross Baseline UEC (Part use adjusted)</v>
      </c>
      <c r="O12" s="114" t="s">
        <v>99</v>
      </c>
      <c r="P12" s="856" t="str">
        <f>"SE of "&amp;O12</f>
        <v>SE of Program Alternative Full Year Consumption</v>
      </c>
      <c r="Q12" s="114" t="s">
        <v>129</v>
      </c>
      <c r="R12" s="856" t="str">
        <f>"SE of "&amp;Q12</f>
        <v>SE of Usage Factor on the grid with the Program</v>
      </c>
      <c r="S12" s="114" t="s">
        <v>126</v>
      </c>
      <c r="T12" s="856" t="str">
        <f>"SE of "&amp;S12</f>
        <v>SE of Gross UEC with Program (part use adjusted)</v>
      </c>
      <c r="U12" s="401" t="s">
        <v>112</v>
      </c>
      <c r="V12" s="856" t="str">
        <f>"SE of "&amp;U12</f>
        <v>SE of Gross Unit Energy Savings</v>
      </c>
      <c r="W12" s="114" t="s">
        <v>124</v>
      </c>
      <c r="X12" s="401" t="s">
        <v>128</v>
      </c>
      <c r="Y12" s="856" t="str">
        <f>"SE of "&amp;X12</f>
        <v>SE of Net Savings</v>
      </c>
      <c r="Z12" s="401" t="s">
        <v>351</v>
      </c>
      <c r="AA12" s="856" t="str">
        <f>"SE of "&amp;Z12</f>
        <v>SE of Proportional Gross Unit Savings</v>
      </c>
      <c r="AB12" s="401" t="s">
        <v>352</v>
      </c>
      <c r="AC12" s="856" t="str">
        <f>"SE of "&amp;AB12</f>
        <v>SE of Proportional Net Unit Savings</v>
      </c>
      <c r="AD12" s="114" t="s">
        <v>120</v>
      </c>
      <c r="AE12" s="1017" t="str">
        <f>"SE of "&amp;AD12</f>
        <v>SE of NTG Ratio</v>
      </c>
    </row>
    <row r="13" spans="1:40" s="331" customFormat="1" ht="20.25" customHeight="1">
      <c r="A13" s="916"/>
      <c r="B13" s="916"/>
      <c r="C13" s="916"/>
      <c r="D13" s="916"/>
      <c r="E13" s="916"/>
      <c r="F13" s="916"/>
      <c r="G13" s="136" t="s">
        <v>213</v>
      </c>
      <c r="H13" s="136" t="s">
        <v>215</v>
      </c>
      <c r="I13" s="136" t="s">
        <v>119</v>
      </c>
      <c r="J13" s="1004" t="s">
        <v>218</v>
      </c>
      <c r="K13" s="137" t="s">
        <v>117</v>
      </c>
      <c r="L13" s="1008" t="s">
        <v>216</v>
      </c>
      <c r="M13" s="137" t="s">
        <v>214</v>
      </c>
      <c r="N13" s="1008" t="s">
        <v>217</v>
      </c>
      <c r="O13" s="137" t="s">
        <v>150</v>
      </c>
      <c r="P13" s="1004"/>
      <c r="Q13" s="139" t="s">
        <v>127</v>
      </c>
      <c r="R13" s="1012"/>
      <c r="S13" s="139" t="s">
        <v>121</v>
      </c>
      <c r="T13" s="1012" t="s">
        <v>148</v>
      </c>
      <c r="U13" s="139"/>
      <c r="V13" s="857" t="s">
        <v>149</v>
      </c>
      <c r="W13" s="137"/>
      <c r="X13" s="335"/>
      <c r="Y13" s="1015"/>
      <c r="Z13" s="334"/>
      <c r="AA13" s="1015"/>
      <c r="AB13" s="334"/>
      <c r="AC13" s="1015"/>
      <c r="AD13" s="334"/>
      <c r="AE13" s="1015"/>
      <c r="AF13" s="334"/>
      <c r="AG13" s="334"/>
    </row>
    <row r="14" spans="1:40" s="334" customFormat="1" ht="15.75" customHeight="1" outlineLevel="1">
      <c r="A14" s="1752" t="s">
        <v>267</v>
      </c>
      <c r="B14" s="1753"/>
      <c r="C14" s="1753"/>
      <c r="D14" s="1753"/>
      <c r="E14" s="1753"/>
      <c r="F14" s="1753"/>
      <c r="G14" s="743">
        <f>'Statewide Ref Dispostion'!AN8</f>
        <v>0.136803497976</v>
      </c>
      <c r="H14" s="1288">
        <f>'Statewide Ref Dispostion'!AP8</f>
        <v>2.7723</v>
      </c>
      <c r="I14" s="703">
        <f t="shared" ref="I14:I35" si="0">$G$4</f>
        <v>1035.9927015759845</v>
      </c>
      <c r="J14" s="1005">
        <f t="shared" ref="J14:J35" si="1">$H$4</f>
        <v>68.711769825167252</v>
      </c>
      <c r="K14" s="701">
        <f>'Part KIU-KU'!H$25</f>
        <v>0.90680879999999997</v>
      </c>
      <c r="L14" s="1009">
        <f>'Part KIU-KU'!$J$25</f>
        <v>3.5229200000000002E-2</v>
      </c>
      <c r="M14" s="703">
        <f t="shared" ref="M14:M35" si="2">I14*K14</f>
        <v>939.4472985248766</v>
      </c>
      <c r="N14" s="1005">
        <f>M14*SQRT(IF(I14&gt;0,(J14/I14)^2,0)+IF(K14&gt;0,(L14/K14/100)^2,0))</f>
        <v>62.309506444223977</v>
      </c>
      <c r="O14" s="703">
        <f>$G$4</f>
        <v>1035.9927015759845</v>
      </c>
      <c r="P14" s="1005">
        <f>$H$4</f>
        <v>68.711769825167252</v>
      </c>
      <c r="Q14" s="701">
        <v>0</v>
      </c>
      <c r="R14" s="1009">
        <v>0</v>
      </c>
      <c r="S14" s="703">
        <f>O14*Q14</f>
        <v>0</v>
      </c>
      <c r="T14" s="1005">
        <f>S14*SQRT(IF(O14&gt;0,(P14/O14)^2,0)+IF(Q14&gt;0,(R14/Q14/100)^2,0))</f>
        <v>0</v>
      </c>
      <c r="U14" s="711">
        <f>M14-S14</f>
        <v>939.4472985248766</v>
      </c>
      <c r="V14" s="1014">
        <f t="shared" ref="V14:V36" si="3">SQRT(T14^2+N14^2)</f>
        <v>62.309506444223977</v>
      </c>
      <c r="W14" s="711">
        <v>1</v>
      </c>
      <c r="X14" s="711">
        <f t="shared" ref="X14:X36" si="4">U14*W14</f>
        <v>939.4472985248766</v>
      </c>
      <c r="Y14" s="1014">
        <f>V14</f>
        <v>62.309506444223977</v>
      </c>
      <c r="Z14" s="845">
        <f t="shared" ref="Z14:Z36" si="5">U14*G14</f>
        <v>128.51967660230662</v>
      </c>
      <c r="AA14" s="1014">
        <f t="shared" ref="AA14:AA36" si="6">Z14*SQRT(IF(G14&gt;0,(H14/G14/100)^2,0)+IF(U14&gt;0,(V14/U14),0))</f>
        <v>42.116831740779176</v>
      </c>
      <c r="AB14" s="845">
        <f t="shared" ref="AB14:AB36" si="7">X14*G14</f>
        <v>128.51967660230662</v>
      </c>
      <c r="AC14" s="1014">
        <f t="shared" ref="AC14:AC36" si="8">AB14*SQRT(IF(X14&gt;0,(Y14/X14)^2,0)+IF(G14&gt;0,(H14/G14/100)^2,0))</f>
        <v>27.403771768088827</v>
      </c>
      <c r="AD14" s="708">
        <f>IF(Z14&gt;0,AB14/Z14,0)</f>
        <v>1</v>
      </c>
      <c r="AE14" s="1018">
        <f>AD14*SQRT(IF(Z14&gt;0,(AA14/Z14)^2,0)+IF(AB14&gt;0,(AC14/AB14)^2,0))</f>
        <v>0.39096994199323493</v>
      </c>
      <c r="AF14" s="916"/>
      <c r="AG14" s="566"/>
    </row>
    <row r="15" spans="1:40">
      <c r="A15" s="1753" t="s">
        <v>268</v>
      </c>
      <c r="B15" s="1753"/>
      <c r="C15" s="1753"/>
      <c r="D15" s="1753"/>
      <c r="E15" s="1753"/>
      <c r="F15" s="1753"/>
      <c r="G15" s="743">
        <f>'Statewide Ref Dispostion'!AN9</f>
        <v>2.3024502023999999E-2</v>
      </c>
      <c r="H15" s="1288">
        <f>'Statewide Ref Dispostion'!AP9</f>
        <v>2.7723</v>
      </c>
      <c r="I15" s="703">
        <f t="shared" si="0"/>
        <v>1035.9927015759845</v>
      </c>
      <c r="J15" s="1005">
        <f t="shared" si="1"/>
        <v>68.711769825167252</v>
      </c>
      <c r="K15" s="701">
        <v>0</v>
      </c>
      <c r="L15" s="1009">
        <v>0</v>
      </c>
      <c r="M15" s="703">
        <f t="shared" si="2"/>
        <v>0</v>
      </c>
      <c r="N15" s="1005">
        <f t="shared" ref="N15:N35" si="9">M15*SQRT(IF(I15&gt;0,(J15/I15)^2,0)+IF(K15&gt;0,(L15/K15/100)^2,0))</f>
        <v>0</v>
      </c>
      <c r="O15" s="703">
        <f>$G$4</f>
        <v>1035.9927015759845</v>
      </c>
      <c r="P15" s="1005">
        <f>$H$4</f>
        <v>68.711769825167252</v>
      </c>
      <c r="Q15" s="897">
        <v>0</v>
      </c>
      <c r="R15" s="1013">
        <v>0</v>
      </c>
      <c r="S15" s="705">
        <f t="shared" ref="S15:S35" si="10">Q15*O15</f>
        <v>0</v>
      </c>
      <c r="T15" s="1005">
        <f t="shared" ref="T15:T35" si="11">S15*SQRT(IF(O15&gt;0,(P15/O15)^2,0)+IF(Q15&gt;0,(R15/Q15/100)^2,0))</f>
        <v>0</v>
      </c>
      <c r="U15" s="707">
        <f t="shared" ref="U15:U36" si="12">M15-S15</f>
        <v>0</v>
      </c>
      <c r="V15" s="1014">
        <f t="shared" si="3"/>
        <v>0</v>
      </c>
      <c r="W15" s="711">
        <v>1</v>
      </c>
      <c r="X15" s="707">
        <f t="shared" si="4"/>
        <v>0</v>
      </c>
      <c r="Y15" s="1014">
        <f t="shared" ref="Y15:Y35" si="13">V15</f>
        <v>0</v>
      </c>
      <c r="Z15" s="846">
        <f t="shared" si="5"/>
        <v>0</v>
      </c>
      <c r="AA15" s="1014">
        <f t="shared" si="6"/>
        <v>0</v>
      </c>
      <c r="AB15" s="846">
        <f t="shared" si="7"/>
        <v>0</v>
      </c>
      <c r="AC15" s="1014">
        <f t="shared" si="8"/>
        <v>0</v>
      </c>
      <c r="AD15" s="708" t="s">
        <v>130</v>
      </c>
      <c r="AE15" s="1019" t="s">
        <v>130</v>
      </c>
      <c r="AG15" s="566"/>
      <c r="AN15" s="916"/>
    </row>
    <row r="16" spans="1:40">
      <c r="A16" s="1790" t="s">
        <v>133</v>
      </c>
      <c r="B16" s="1791"/>
      <c r="C16" s="1791"/>
      <c r="D16" s="1791"/>
      <c r="E16" s="1791"/>
      <c r="F16" s="1791"/>
      <c r="G16" s="744">
        <f>'Statewide Ref Dispostion'!AN10</f>
        <v>0.18151916060000001</v>
      </c>
      <c r="H16" s="1289">
        <f>'Statewide Ref Dispostion'!AP10</f>
        <v>2.144933359575032</v>
      </c>
      <c r="I16" s="709">
        <f t="shared" ref="I16:N16" si="14">SUMPRODUCT(I$17:I$35,$G$17:$G$35)/SUM($G$17:$G$35)</f>
        <v>1035.9927015759843</v>
      </c>
      <c r="J16" s="1006">
        <f t="shared" si="14"/>
        <v>68.711769825167224</v>
      </c>
      <c r="K16" s="920">
        <f>SUMPRODUCT(K$17:K$35,$G$17:$G$35)/SUM($G$17:$G$35)</f>
        <v>0.98178700853973866</v>
      </c>
      <c r="L16" s="1006">
        <f t="shared" si="14"/>
        <v>6.8850826982786474E-3</v>
      </c>
      <c r="M16" s="709">
        <f>I16*K16</f>
        <v>1017.1241753492877</v>
      </c>
      <c r="N16" s="1006">
        <f t="shared" si="14"/>
        <v>67.460531851158294</v>
      </c>
      <c r="O16" s="709">
        <v>457</v>
      </c>
      <c r="P16" s="1006">
        <f t="shared" ref="P16:T16" si="15">SUMPRODUCT(P$17:P$35,$G$17:$G$35)/SUM($G$17:$G$35)</f>
        <v>66.096831993989923</v>
      </c>
      <c r="Q16" s="701">
        <f>K16</f>
        <v>0.98178700853973866</v>
      </c>
      <c r="R16" s="1006">
        <f t="shared" si="15"/>
        <v>5.7810635639091081E-3</v>
      </c>
      <c r="S16" s="709">
        <v>454</v>
      </c>
      <c r="T16" s="1006">
        <f t="shared" si="15"/>
        <v>65.491040445075782</v>
      </c>
      <c r="U16" s="711">
        <f t="shared" si="12"/>
        <v>563.12417534928773</v>
      </c>
      <c r="V16" s="1014">
        <f t="shared" si="3"/>
        <v>94.021272785576002</v>
      </c>
      <c r="W16" s="711">
        <v>0</v>
      </c>
      <c r="X16" s="707">
        <f t="shared" si="4"/>
        <v>0</v>
      </c>
      <c r="Y16" s="1014">
        <v>0</v>
      </c>
      <c r="Z16" s="845">
        <f t="shared" si="5"/>
        <v>102.21782762296992</v>
      </c>
      <c r="AA16" s="1014">
        <f t="shared" si="6"/>
        <v>43.478853136042588</v>
      </c>
      <c r="AB16" s="846">
        <f t="shared" si="7"/>
        <v>0</v>
      </c>
      <c r="AC16" s="1014">
        <f t="shared" si="8"/>
        <v>0</v>
      </c>
      <c r="AD16" s="708">
        <f>IF(Z16&gt;0,AB16/Z16,0)</f>
        <v>0</v>
      </c>
      <c r="AE16" s="1018">
        <f>AD16*SQRT(IF(Z16&gt;0,(AA16/Z16)^2,0)+IF(AB16&gt;0,(AC16/AB16)^2,0))</f>
        <v>0</v>
      </c>
      <c r="AG16" s="566"/>
      <c r="AN16" s="916"/>
    </row>
    <row r="17" spans="1:40" ht="15.75" customHeight="1">
      <c r="A17" s="1782" t="s">
        <v>340</v>
      </c>
      <c r="B17" s="1782" t="s">
        <v>341</v>
      </c>
      <c r="C17" s="1782" t="s">
        <v>342</v>
      </c>
      <c r="D17" s="1785" t="s">
        <v>344</v>
      </c>
      <c r="E17" s="1785"/>
      <c r="F17" s="1785"/>
      <c r="G17" s="745">
        <f>'Statewide Ref Dispostion'!AN11</f>
        <v>1.1642391561073492E-2</v>
      </c>
      <c r="H17" s="1290">
        <f>'Statewide Ref Dispostion'!AP11</f>
        <v>0.71163415254117457</v>
      </c>
      <c r="I17" s="703">
        <f t="shared" si="0"/>
        <v>1035.9927015759845</v>
      </c>
      <c r="J17" s="1005">
        <f t="shared" si="1"/>
        <v>68.711769825167252</v>
      </c>
      <c r="K17" s="701">
        <v>1</v>
      </c>
      <c r="L17" s="1009">
        <v>0</v>
      </c>
      <c r="M17" s="709">
        <f t="shared" si="2"/>
        <v>1035.9927015759845</v>
      </c>
      <c r="N17" s="1010">
        <f t="shared" si="9"/>
        <v>68.711769825167252</v>
      </c>
      <c r="O17" s="709">
        <f>$G$5</f>
        <v>791</v>
      </c>
      <c r="P17" s="1010">
        <f>$H$5</f>
        <v>98</v>
      </c>
      <c r="Q17" s="701">
        <v>1</v>
      </c>
      <c r="R17" s="1009">
        <v>0</v>
      </c>
      <c r="S17" s="709">
        <f t="shared" si="10"/>
        <v>791</v>
      </c>
      <c r="T17" s="1005">
        <f t="shared" si="11"/>
        <v>98</v>
      </c>
      <c r="U17" s="711">
        <f t="shared" si="12"/>
        <v>244.99270157598448</v>
      </c>
      <c r="V17" s="1014">
        <f t="shared" si="3"/>
        <v>119.68837584538761</v>
      </c>
      <c r="W17" s="711">
        <v>1</v>
      </c>
      <c r="X17" s="711">
        <f t="shared" si="4"/>
        <v>244.99270157598448</v>
      </c>
      <c r="Y17" s="1014">
        <f t="shared" si="13"/>
        <v>119.68837584538761</v>
      </c>
      <c r="Z17" s="845">
        <f t="shared" si="5"/>
        <v>2.8523009613528383</v>
      </c>
      <c r="AA17" s="1014">
        <f t="shared" si="6"/>
        <v>2.6484312752764061</v>
      </c>
      <c r="AB17" s="845">
        <f t="shared" si="7"/>
        <v>2.8523009613528383</v>
      </c>
      <c r="AC17" s="1014">
        <f t="shared" si="8"/>
        <v>2.231894209715831</v>
      </c>
      <c r="AD17" s="708">
        <f>IF(Z17&gt;0,AB17/Z17,0)</f>
        <v>1</v>
      </c>
      <c r="AE17" s="1018">
        <f t="shared" ref="AE17:AE36" si="16">AD17*SQRT(IF(Z17&gt;0,(AA17/Z17)^2,0)+IF(AB17&gt;0,(AC17/AB17)^2,0))</f>
        <v>1.2142680082740696</v>
      </c>
      <c r="AG17" s="566"/>
      <c r="AN17" s="916"/>
    </row>
    <row r="18" spans="1:40">
      <c r="A18" s="1782"/>
      <c r="B18" s="1782"/>
      <c r="C18" s="1782"/>
      <c r="D18" s="1785" t="s">
        <v>345</v>
      </c>
      <c r="E18" s="1785"/>
      <c r="F18" s="1785"/>
      <c r="G18" s="745">
        <f>'Statewide Ref Dispostion'!AN12</f>
        <v>9.9035037548185934E-2</v>
      </c>
      <c r="H18" s="1290">
        <f>'Statewide Ref Dispostion'!AP12</f>
        <v>5.1404435522609502</v>
      </c>
      <c r="I18" s="703">
        <f t="shared" si="0"/>
        <v>1035.9927015759845</v>
      </c>
      <c r="J18" s="1005">
        <f t="shared" si="1"/>
        <v>68.711769825167252</v>
      </c>
      <c r="K18" s="701">
        <v>1</v>
      </c>
      <c r="L18" s="1009">
        <v>0</v>
      </c>
      <c r="M18" s="709">
        <f t="shared" si="2"/>
        <v>1035.9927015759845</v>
      </c>
      <c r="N18" s="1010">
        <f t="shared" si="9"/>
        <v>68.711769825167252</v>
      </c>
      <c r="O18" s="709">
        <f>$G$6</f>
        <v>783</v>
      </c>
      <c r="P18" s="1010">
        <f>$H$6</f>
        <v>106</v>
      </c>
      <c r="Q18" s="701">
        <v>1</v>
      </c>
      <c r="R18" s="1009">
        <v>0</v>
      </c>
      <c r="S18" s="709">
        <f t="shared" si="10"/>
        <v>783</v>
      </c>
      <c r="T18" s="1005">
        <f t="shared" si="11"/>
        <v>106.00000000000001</v>
      </c>
      <c r="U18" s="711">
        <f t="shared" si="12"/>
        <v>252.99270157598448</v>
      </c>
      <c r="V18" s="1014">
        <f t="shared" si="3"/>
        <v>126.32223601768126</v>
      </c>
      <c r="W18" s="711">
        <v>1</v>
      </c>
      <c r="X18" s="711">
        <f t="shared" si="4"/>
        <v>252.99270157598448</v>
      </c>
      <c r="Y18" s="1014">
        <f t="shared" si="13"/>
        <v>126.32223601768126</v>
      </c>
      <c r="Z18" s="845">
        <f t="shared" si="5"/>
        <v>25.055141699994621</v>
      </c>
      <c r="AA18" s="1014">
        <f t="shared" si="6"/>
        <v>21.967627825605604</v>
      </c>
      <c r="AB18" s="845">
        <f t="shared" si="7"/>
        <v>25.055141699994621</v>
      </c>
      <c r="AC18" s="1014">
        <f t="shared" si="8"/>
        <v>18.045413218311989</v>
      </c>
      <c r="AD18" s="708">
        <f t="shared" ref="AD18:AD36" si="17">IF(Z18&gt;0,AB18/Z18,0)</f>
        <v>1</v>
      </c>
      <c r="AE18" s="1018">
        <f t="shared" si="16"/>
        <v>1.1346612322076901</v>
      </c>
      <c r="AG18" s="566"/>
      <c r="AN18" s="916"/>
    </row>
    <row r="19" spans="1:40">
      <c r="A19" s="1782"/>
      <c r="B19" s="1782"/>
      <c r="C19" s="1782"/>
      <c r="D19" s="1785" t="s">
        <v>346</v>
      </c>
      <c r="E19" s="1785"/>
      <c r="F19" s="1785"/>
      <c r="G19" s="745">
        <f>'Statewide Ref Dispostion'!AN13</f>
        <v>8.4221478298931493E-2</v>
      </c>
      <c r="H19" s="1290">
        <f>'Statewide Ref Dispostion'!AP13</f>
        <v>4.388512052775968</v>
      </c>
      <c r="I19" s="703">
        <f t="shared" si="0"/>
        <v>1035.9927015759845</v>
      </c>
      <c r="J19" s="1005">
        <f t="shared" si="1"/>
        <v>68.711769825167252</v>
      </c>
      <c r="K19" s="701">
        <v>1</v>
      </c>
      <c r="L19" s="1009">
        <v>0</v>
      </c>
      <c r="M19" s="709">
        <f t="shared" si="2"/>
        <v>1035.9927015759845</v>
      </c>
      <c r="N19" s="1010">
        <f t="shared" si="9"/>
        <v>68.711769825167252</v>
      </c>
      <c r="O19" s="709">
        <f>G7</f>
        <v>452</v>
      </c>
      <c r="P19" s="1010"/>
      <c r="Q19" s="701">
        <v>1</v>
      </c>
      <c r="R19" s="1009">
        <v>0</v>
      </c>
      <c r="S19" s="709">
        <f t="shared" si="10"/>
        <v>452</v>
      </c>
      <c r="T19" s="1005">
        <f t="shared" si="11"/>
        <v>0</v>
      </c>
      <c r="U19" s="711">
        <f t="shared" si="12"/>
        <v>583.99270157598448</v>
      </c>
      <c r="V19" s="1014">
        <f t="shared" si="3"/>
        <v>68.711769825167252</v>
      </c>
      <c r="W19" s="711">
        <v>1</v>
      </c>
      <c r="X19" s="711">
        <f t="shared" si="4"/>
        <v>583.99270157598448</v>
      </c>
      <c r="Y19" s="1014">
        <f t="shared" si="13"/>
        <v>68.711769825167252</v>
      </c>
      <c r="Z19" s="845">
        <f t="shared" si="5"/>
        <v>49.184728642516156</v>
      </c>
      <c r="AA19" s="1014">
        <f t="shared" si="6"/>
        <v>30.683171135885065</v>
      </c>
      <c r="AB19" s="845">
        <f t="shared" si="7"/>
        <v>49.184728642516156</v>
      </c>
      <c r="AC19" s="1014">
        <f t="shared" si="8"/>
        <v>26.273828772620369</v>
      </c>
      <c r="AD19" s="708">
        <f t="shared" si="17"/>
        <v>1</v>
      </c>
      <c r="AE19" s="1018">
        <f t="shared" si="16"/>
        <v>0.82129529489493924</v>
      </c>
      <c r="AG19" s="566"/>
      <c r="AN19" s="916"/>
    </row>
    <row r="20" spans="1:40">
      <c r="A20" s="1782"/>
      <c r="B20" s="1782"/>
      <c r="C20" s="1782"/>
      <c r="D20" s="1789" t="s">
        <v>494</v>
      </c>
      <c r="E20" s="1789"/>
      <c r="F20" s="798" t="s">
        <v>509</v>
      </c>
      <c r="G20" s="745">
        <f>'Statewide Ref Dispostion'!AN14</f>
        <v>5.1842432725117987E-2</v>
      </c>
      <c r="H20" s="1290">
        <f>'Statewide Ref Dispostion'!AP14</f>
        <v>2.7432112796196733</v>
      </c>
      <c r="I20" s="703">
        <f t="shared" si="0"/>
        <v>1035.9927015759845</v>
      </c>
      <c r="J20" s="1005">
        <f t="shared" si="1"/>
        <v>68.711769825167252</v>
      </c>
      <c r="K20" s="701">
        <v>1</v>
      </c>
      <c r="L20" s="1009">
        <v>0</v>
      </c>
      <c r="M20" s="709">
        <f t="shared" si="2"/>
        <v>1035.9927015759845</v>
      </c>
      <c r="N20" s="1010">
        <f t="shared" si="9"/>
        <v>68.711769825167252</v>
      </c>
      <c r="O20" s="709">
        <f>(791*0.6)+(1036*0.4)</f>
        <v>889</v>
      </c>
      <c r="P20" s="1010">
        <f>SQRT($H$4^2+$H$5^2)</f>
        <v>119.68837584538761</v>
      </c>
      <c r="Q20" s="701">
        <v>1</v>
      </c>
      <c r="R20" s="1009">
        <v>0</v>
      </c>
      <c r="S20" s="709">
        <f t="shared" si="10"/>
        <v>889</v>
      </c>
      <c r="T20" s="1005">
        <f t="shared" si="11"/>
        <v>119.68837584538761</v>
      </c>
      <c r="U20" s="711">
        <f t="shared" si="12"/>
        <v>146.99270157598448</v>
      </c>
      <c r="V20" s="1014">
        <f t="shared" si="3"/>
        <v>138.009472953901</v>
      </c>
      <c r="W20" s="711">
        <v>1</v>
      </c>
      <c r="X20" s="711">
        <f t="shared" si="4"/>
        <v>146.99270157598448</v>
      </c>
      <c r="Y20" s="1014">
        <f t="shared" si="13"/>
        <v>138.009472953901</v>
      </c>
      <c r="Z20" s="845">
        <f t="shared" si="5"/>
        <v>7.6204592425363202</v>
      </c>
      <c r="AA20" s="1014">
        <f t="shared" si="6"/>
        <v>8.4132077161472711</v>
      </c>
      <c r="AB20" s="845">
        <f t="shared" si="7"/>
        <v>7.6204592425363202</v>
      </c>
      <c r="AC20" s="1014">
        <f t="shared" si="8"/>
        <v>8.2127954790725752</v>
      </c>
      <c r="AD20" s="708">
        <f t="shared" si="17"/>
        <v>1</v>
      </c>
      <c r="AE20" s="1018">
        <f t="shared" si="16"/>
        <v>1.5428484441306947</v>
      </c>
      <c r="AG20" s="566"/>
      <c r="AN20" s="916"/>
    </row>
    <row r="21" spans="1:40">
      <c r="A21" s="1782"/>
      <c r="B21" s="1782"/>
      <c r="C21" s="1782"/>
      <c r="D21" s="1789"/>
      <c r="E21" s="1789"/>
      <c r="F21" s="798" t="s">
        <v>511</v>
      </c>
      <c r="G21" s="745">
        <f>'Statewide Ref Dispostion'!AN15</f>
        <v>1.4023771042849197E-2</v>
      </c>
      <c r="H21" s="1290">
        <f>'Statewide Ref Dispostion'!AP15</f>
        <v>0.82062945896532768</v>
      </c>
      <c r="I21" s="703">
        <f t="shared" si="0"/>
        <v>1035.9927015759845</v>
      </c>
      <c r="J21" s="1005">
        <f t="shared" si="1"/>
        <v>68.711769825167252</v>
      </c>
      <c r="K21" s="701">
        <f>'Part KIU-KU'!H$25</f>
        <v>0.90680879999999997</v>
      </c>
      <c r="L21" s="1009">
        <f>'Part KIU-KU'!$J$25</f>
        <v>3.5229200000000002E-2</v>
      </c>
      <c r="M21" s="709">
        <f t="shared" si="2"/>
        <v>939.4472985248766</v>
      </c>
      <c r="N21" s="1010">
        <f t="shared" si="9"/>
        <v>62.309506444223977</v>
      </c>
      <c r="O21" s="709">
        <v>0</v>
      </c>
      <c r="P21" s="1010"/>
      <c r="Q21" s="701">
        <f>'Part KIU-KU'!H$25</f>
        <v>0.90680879999999997</v>
      </c>
      <c r="R21" s="1009">
        <v>0</v>
      </c>
      <c r="S21" s="709">
        <f t="shared" si="10"/>
        <v>0</v>
      </c>
      <c r="T21" s="1005"/>
      <c r="U21" s="711">
        <f t="shared" si="12"/>
        <v>939.4472985248766</v>
      </c>
      <c r="V21" s="1014">
        <f t="shared" si="3"/>
        <v>62.309506444223977</v>
      </c>
      <c r="W21" s="711">
        <v>1</v>
      </c>
      <c r="X21" s="711">
        <f t="shared" si="4"/>
        <v>939.4472985248766</v>
      </c>
      <c r="Y21" s="1014">
        <f t="shared" si="13"/>
        <v>62.309506444223977</v>
      </c>
      <c r="Z21" s="845">
        <f t="shared" si="5"/>
        <v>13.174593821336069</v>
      </c>
      <c r="AA21" s="1014">
        <f t="shared" si="6"/>
        <v>8.4229868583870324</v>
      </c>
      <c r="AB21" s="845">
        <f t="shared" si="7"/>
        <v>13.174593821336069</v>
      </c>
      <c r="AC21" s="1014">
        <f t="shared" si="8"/>
        <v>7.7587441713372085</v>
      </c>
      <c r="AD21" s="708">
        <f t="shared" si="17"/>
        <v>1</v>
      </c>
      <c r="AE21" s="1018"/>
      <c r="AG21" s="566"/>
      <c r="AN21" s="916"/>
    </row>
    <row r="22" spans="1:40" ht="15.75" customHeight="1">
      <c r="A22" s="1782"/>
      <c r="B22" s="1782"/>
      <c r="C22" s="1786" t="s">
        <v>343</v>
      </c>
      <c r="D22" s="1787" t="s">
        <v>344</v>
      </c>
      <c r="E22" s="1787"/>
      <c r="F22" s="1787"/>
      <c r="G22" s="746">
        <f>'Statewide Ref Dispostion'!AN16</f>
        <v>4.3865910057667235E-3</v>
      </c>
      <c r="H22" s="1291">
        <f>'Statewide Ref Dispostion'!AP16</f>
        <v>0.31215528612774668</v>
      </c>
      <c r="I22" s="703">
        <f t="shared" si="0"/>
        <v>1035.9927015759845</v>
      </c>
      <c r="J22" s="1005">
        <f t="shared" si="1"/>
        <v>68.711769825167252</v>
      </c>
      <c r="K22" s="701">
        <f>'Part KIU-KU'!H$25</f>
        <v>0.90680879999999997</v>
      </c>
      <c r="L22" s="1009">
        <f>'Part KIU-KU'!$J$25</f>
        <v>3.5229200000000002E-2</v>
      </c>
      <c r="M22" s="709">
        <f t="shared" si="2"/>
        <v>939.4472985248766</v>
      </c>
      <c r="N22" s="1010">
        <f t="shared" si="9"/>
        <v>62.309506444223977</v>
      </c>
      <c r="O22" s="709">
        <f>$G$5</f>
        <v>791</v>
      </c>
      <c r="P22" s="1010">
        <f>$H$5</f>
        <v>98</v>
      </c>
      <c r="Q22" s="701">
        <f>'Part KIU-KU'!H$25</f>
        <v>0.90680879999999997</v>
      </c>
      <c r="R22" s="1009">
        <f>'Part KIU-KU'!$J$25</f>
        <v>3.5229200000000002E-2</v>
      </c>
      <c r="S22" s="709">
        <f t="shared" si="10"/>
        <v>717.28576079999993</v>
      </c>
      <c r="T22" s="1005">
        <f t="shared" si="11"/>
        <v>88.867699303641345</v>
      </c>
      <c r="U22" s="711">
        <f t="shared" si="12"/>
        <v>222.16153772487667</v>
      </c>
      <c r="V22" s="1014">
        <f t="shared" si="3"/>
        <v>108.5354438551997</v>
      </c>
      <c r="W22" s="711">
        <v>1</v>
      </c>
      <c r="X22" s="711">
        <f t="shared" si="4"/>
        <v>222.16153772487667</v>
      </c>
      <c r="Y22" s="1014">
        <f t="shared" si="13"/>
        <v>108.5354438551997</v>
      </c>
      <c r="Z22" s="845">
        <f t="shared" si="5"/>
        <v>0.97453180321124866</v>
      </c>
      <c r="AA22" s="1014">
        <f t="shared" si="6"/>
        <v>0.97206077412243763</v>
      </c>
      <c r="AB22" s="845">
        <f t="shared" si="7"/>
        <v>0.97453180321124866</v>
      </c>
      <c r="AC22" s="1014">
        <f t="shared" si="8"/>
        <v>0.84118889295997379</v>
      </c>
      <c r="AD22" s="708">
        <f t="shared" si="17"/>
        <v>1</v>
      </c>
      <c r="AE22" s="1018">
        <f t="shared" si="16"/>
        <v>1.3190912394113727</v>
      </c>
      <c r="AG22" s="566"/>
      <c r="AN22" s="916"/>
    </row>
    <row r="23" spans="1:40" ht="18.75" customHeight="1">
      <c r="A23" s="1782"/>
      <c r="B23" s="1782"/>
      <c r="C23" s="1786"/>
      <c r="D23" s="1787" t="s">
        <v>345</v>
      </c>
      <c r="E23" s="1787"/>
      <c r="F23" s="1787"/>
      <c r="G23" s="746">
        <f>'Statewide Ref Dispostion'!AN17</f>
        <v>2.0012557038668416E-2</v>
      </c>
      <c r="H23" s="1291">
        <f>'Statewide Ref Dispostion'!AP17</f>
        <v>1.1081772867721706</v>
      </c>
      <c r="I23" s="703">
        <f t="shared" si="0"/>
        <v>1035.9927015759845</v>
      </c>
      <c r="J23" s="1005">
        <f t="shared" si="1"/>
        <v>68.711769825167252</v>
      </c>
      <c r="K23" s="701">
        <f>'Part KIU-KU'!H$25</f>
        <v>0.90680879999999997</v>
      </c>
      <c r="L23" s="1009">
        <f>'Part KIU-KU'!$J$25</f>
        <v>3.5229200000000002E-2</v>
      </c>
      <c r="M23" s="709">
        <f t="shared" si="2"/>
        <v>939.4472985248766</v>
      </c>
      <c r="N23" s="1010">
        <f t="shared" si="9"/>
        <v>62.309506444223977</v>
      </c>
      <c r="O23" s="709">
        <f>$G$6</f>
        <v>783</v>
      </c>
      <c r="P23" s="1010">
        <f>$H$6</f>
        <v>106</v>
      </c>
      <c r="Q23" s="701">
        <f>'Part KIU-KU'!H$25</f>
        <v>0.90680879999999997</v>
      </c>
      <c r="R23" s="1009">
        <f>'Part KIU-KU'!$J$25</f>
        <v>3.5229200000000002E-2</v>
      </c>
      <c r="S23" s="709">
        <f t="shared" si="10"/>
        <v>710.03129039999999</v>
      </c>
      <c r="T23" s="1005">
        <f t="shared" si="11"/>
        <v>96.122128600743167</v>
      </c>
      <c r="U23" s="711">
        <f t="shared" si="12"/>
        <v>229.41600812487661</v>
      </c>
      <c r="V23" s="1014">
        <f t="shared" si="3"/>
        <v>114.55102880402514</v>
      </c>
      <c r="W23" s="711">
        <v>1</v>
      </c>
      <c r="X23" s="711">
        <f t="shared" si="4"/>
        <v>229.41600812487661</v>
      </c>
      <c r="Y23" s="1014">
        <f t="shared" si="13"/>
        <v>114.55102880402514</v>
      </c>
      <c r="Z23" s="845">
        <f t="shared" si="5"/>
        <v>4.5912009481827099</v>
      </c>
      <c r="AA23" s="1014">
        <f t="shared" si="6"/>
        <v>4.1217244862369302</v>
      </c>
      <c r="AB23" s="845">
        <f t="shared" si="7"/>
        <v>4.5912009481827099</v>
      </c>
      <c r="AC23" s="1014">
        <f t="shared" si="8"/>
        <v>3.4232792863963142</v>
      </c>
      <c r="AD23" s="708">
        <f t="shared" si="17"/>
        <v>1</v>
      </c>
      <c r="AE23" s="1018">
        <f t="shared" si="16"/>
        <v>1.1670004834367815</v>
      </c>
      <c r="AG23" s="566"/>
      <c r="AN23" s="916"/>
    </row>
    <row r="24" spans="1:40" ht="18.75" customHeight="1">
      <c r="A24" s="1782"/>
      <c r="B24" s="1782"/>
      <c r="C24" s="1786"/>
      <c r="D24" s="1787" t="s">
        <v>346</v>
      </c>
      <c r="E24" s="1787"/>
      <c r="F24" s="1787"/>
      <c r="G24" s="746">
        <f>'Statewide Ref Dispostion'!AN18</f>
        <v>1.2032597130769086E-2</v>
      </c>
      <c r="H24" s="1291">
        <f>'Statewide Ref Dispostion'!AP18</f>
        <v>0.69844116090033626</v>
      </c>
      <c r="I24" s="703">
        <f t="shared" si="0"/>
        <v>1035.9927015759845</v>
      </c>
      <c r="J24" s="1005">
        <f t="shared" si="1"/>
        <v>68.711769825167252</v>
      </c>
      <c r="K24" s="701">
        <f>'Part KIU-KU'!H$25</f>
        <v>0.90680879999999997</v>
      </c>
      <c r="L24" s="1009">
        <f>'Part KIU-KU'!$J$25</f>
        <v>3.5229200000000002E-2</v>
      </c>
      <c r="M24" s="709">
        <f t="shared" si="2"/>
        <v>939.4472985248766</v>
      </c>
      <c r="N24" s="1010">
        <f t="shared" si="9"/>
        <v>62.309506444223977</v>
      </c>
      <c r="O24" s="709">
        <f>G7</f>
        <v>452</v>
      </c>
      <c r="P24" s="1010"/>
      <c r="Q24" s="701">
        <f>'Part KIU-KU'!H$25</f>
        <v>0.90680879999999997</v>
      </c>
      <c r="R24" s="1009">
        <f>'Part KIU-KU'!$J$25</f>
        <v>3.5229200000000002E-2</v>
      </c>
      <c r="S24" s="709">
        <f t="shared" si="10"/>
        <v>409.8775776</v>
      </c>
      <c r="T24" s="1005">
        <f t="shared" si="11"/>
        <v>0.159235984</v>
      </c>
      <c r="U24" s="711">
        <f t="shared" si="12"/>
        <v>529.56972092487661</v>
      </c>
      <c r="V24" s="1014">
        <f t="shared" si="3"/>
        <v>62.309709912832929</v>
      </c>
      <c r="W24" s="711">
        <v>1</v>
      </c>
      <c r="X24" s="711">
        <f t="shared" si="4"/>
        <v>529.56972092487661</v>
      </c>
      <c r="Y24" s="1014">
        <f t="shared" si="13"/>
        <v>62.309709912832929</v>
      </c>
      <c r="Z24" s="845">
        <f t="shared" si="5"/>
        <v>6.3720991045428557</v>
      </c>
      <c r="AA24" s="1014">
        <f t="shared" si="6"/>
        <v>4.2962880907767982</v>
      </c>
      <c r="AB24" s="845">
        <f t="shared" si="7"/>
        <v>6.3720991045428557</v>
      </c>
      <c r="AC24" s="1014">
        <f t="shared" si="8"/>
        <v>3.7739563634413709</v>
      </c>
      <c r="AD24" s="708">
        <f t="shared" si="17"/>
        <v>1</v>
      </c>
      <c r="AE24" s="1018">
        <f t="shared" si="16"/>
        <v>0.89742242855522769</v>
      </c>
      <c r="AG24" s="566"/>
      <c r="AN24" s="916"/>
    </row>
    <row r="25" spans="1:40" ht="18.75" customHeight="1">
      <c r="A25" s="1782"/>
      <c r="B25" s="1782"/>
      <c r="C25" s="1786"/>
      <c r="D25" s="1787" t="s">
        <v>347</v>
      </c>
      <c r="E25" s="1787"/>
      <c r="F25" s="1787"/>
      <c r="G25" s="746">
        <f>'Statewide Ref Dispostion'!AN19</f>
        <v>3.6340924882971623E-2</v>
      </c>
      <c r="H25" s="1291">
        <f>'Statewide Ref Dispostion'!AP19</f>
        <v>1.91660078991883</v>
      </c>
      <c r="I25" s="703">
        <f t="shared" si="0"/>
        <v>1035.9927015759845</v>
      </c>
      <c r="J25" s="1005">
        <f t="shared" si="1"/>
        <v>68.711769825167252</v>
      </c>
      <c r="K25" s="701">
        <f>'Part KIU-KU'!H$25</f>
        <v>0.90680879999999997</v>
      </c>
      <c r="L25" s="1009">
        <f>'Part KIU-KU'!$J$25</f>
        <v>3.5229200000000002E-2</v>
      </c>
      <c r="M25" s="709">
        <f t="shared" si="2"/>
        <v>939.4472985248766</v>
      </c>
      <c r="N25" s="1010">
        <f t="shared" si="9"/>
        <v>62.309506444223977</v>
      </c>
      <c r="O25" s="709">
        <v>0</v>
      </c>
      <c r="P25" s="1010"/>
      <c r="Q25" s="701">
        <f>'Part KIU-KU'!H$25</f>
        <v>0.90680879999999997</v>
      </c>
      <c r="R25" s="1009">
        <f>'Part KIU-KU'!$J$25</f>
        <v>3.5229200000000002E-2</v>
      </c>
      <c r="S25" s="709">
        <f t="shared" si="10"/>
        <v>0</v>
      </c>
      <c r="T25" s="1005">
        <f t="shared" si="11"/>
        <v>0</v>
      </c>
      <c r="U25" s="711">
        <f t="shared" si="12"/>
        <v>939.4472985248766</v>
      </c>
      <c r="V25" s="1014">
        <f t="shared" si="3"/>
        <v>62.309506444223977</v>
      </c>
      <c r="W25" s="711">
        <v>1</v>
      </c>
      <c r="X25" s="711">
        <f t="shared" si="4"/>
        <v>939.4472985248766</v>
      </c>
      <c r="Y25" s="1014">
        <f t="shared" si="13"/>
        <v>62.309506444223977</v>
      </c>
      <c r="Z25" s="845">
        <f t="shared" si="5"/>
        <v>34.140383707203156</v>
      </c>
      <c r="AA25" s="1014">
        <f t="shared" si="6"/>
        <v>20.037548804442761</v>
      </c>
      <c r="AB25" s="845">
        <f t="shared" si="7"/>
        <v>34.140383707203156</v>
      </c>
      <c r="AC25" s="1014">
        <f t="shared" si="8"/>
        <v>18.147281504359533</v>
      </c>
      <c r="AD25" s="708">
        <f t="shared" si="17"/>
        <v>1</v>
      </c>
      <c r="AE25" s="1018">
        <f t="shared" si="16"/>
        <v>0.79184275936760307</v>
      </c>
      <c r="AG25" s="566"/>
      <c r="AN25" s="916"/>
    </row>
    <row r="26" spans="1:40" ht="26.25" customHeight="1">
      <c r="A26" s="1782"/>
      <c r="B26" s="1748" t="s">
        <v>88</v>
      </c>
      <c r="C26" s="1748" t="s">
        <v>348</v>
      </c>
      <c r="D26" s="1748" t="s">
        <v>342</v>
      </c>
      <c r="E26" s="1750" t="s">
        <v>345</v>
      </c>
      <c r="F26" s="1750"/>
      <c r="G26" s="747">
        <f>'Statewide Ref Dispostion'!AN20</f>
        <v>7.4297916790629318E-2</v>
      </c>
      <c r="H26" s="1292">
        <f>'Statewide Ref Dispostion'!AP20</f>
        <v>5.8945527307264713</v>
      </c>
      <c r="I26" s="703">
        <f t="shared" si="0"/>
        <v>1035.9927015759845</v>
      </c>
      <c r="J26" s="1005">
        <f t="shared" si="1"/>
        <v>68.711769825167252</v>
      </c>
      <c r="K26" s="701">
        <v>1</v>
      </c>
      <c r="L26" s="1009">
        <v>0</v>
      </c>
      <c r="M26" s="709">
        <f t="shared" si="2"/>
        <v>1035.9927015759845</v>
      </c>
      <c r="N26" s="1010">
        <f t="shared" si="9"/>
        <v>68.711769825167252</v>
      </c>
      <c r="O26" s="709">
        <f>$G$6</f>
        <v>783</v>
      </c>
      <c r="P26" s="1010">
        <f>$H$6</f>
        <v>106</v>
      </c>
      <c r="Q26" s="701">
        <v>1</v>
      </c>
      <c r="R26" s="1009">
        <v>0</v>
      </c>
      <c r="S26" s="709">
        <f t="shared" si="10"/>
        <v>783</v>
      </c>
      <c r="T26" s="1005">
        <f t="shared" si="11"/>
        <v>106.00000000000001</v>
      </c>
      <c r="U26" s="711">
        <f t="shared" si="12"/>
        <v>252.99270157598448</v>
      </c>
      <c r="V26" s="1014">
        <f t="shared" si="3"/>
        <v>126.32223601768126</v>
      </c>
      <c r="W26" s="711">
        <v>1</v>
      </c>
      <c r="X26" s="711">
        <f t="shared" si="4"/>
        <v>252.99270157598448</v>
      </c>
      <c r="Y26" s="1014">
        <f t="shared" si="13"/>
        <v>126.32223601768126</v>
      </c>
      <c r="Z26" s="845">
        <f t="shared" si="5"/>
        <v>18.79683069032901</v>
      </c>
      <c r="AA26" s="1014">
        <f t="shared" si="6"/>
        <v>19.970190565437303</v>
      </c>
      <c r="AB26" s="845">
        <f t="shared" si="7"/>
        <v>18.79683069032901</v>
      </c>
      <c r="AC26" s="1014">
        <f t="shared" si="8"/>
        <v>17.620399188701416</v>
      </c>
      <c r="AD26" s="708">
        <f t="shared" si="17"/>
        <v>1</v>
      </c>
      <c r="AE26" s="1018">
        <f t="shared" si="16"/>
        <v>1.416858121577979</v>
      </c>
      <c r="AG26" s="566"/>
      <c r="AN26" s="916"/>
    </row>
    <row r="27" spans="1:40">
      <c r="A27" s="1782"/>
      <c r="B27" s="1748"/>
      <c r="C27" s="1748"/>
      <c r="D27" s="1748"/>
      <c r="E27" s="1747" t="s">
        <v>346</v>
      </c>
      <c r="F27" s="1747"/>
      <c r="G27" s="747">
        <f>'Statewide Ref Dispostion'!AN21</f>
        <v>5.6951714683935721E-2</v>
      </c>
      <c r="H27" s="1292">
        <f>'Statewide Ref Dispostion'!AP21</f>
        <v>4.5430947206500267</v>
      </c>
      <c r="I27" s="703">
        <f t="shared" si="0"/>
        <v>1035.9927015759845</v>
      </c>
      <c r="J27" s="1005">
        <f t="shared" si="1"/>
        <v>68.711769825167252</v>
      </c>
      <c r="K27" s="701">
        <v>1</v>
      </c>
      <c r="L27" s="1009">
        <v>0</v>
      </c>
      <c r="M27" s="709">
        <f t="shared" si="2"/>
        <v>1035.9927015759845</v>
      </c>
      <c r="N27" s="1010">
        <f t="shared" si="9"/>
        <v>68.711769825167252</v>
      </c>
      <c r="O27" s="709">
        <f>G7</f>
        <v>452</v>
      </c>
      <c r="P27" s="1010"/>
      <c r="Q27" s="701">
        <v>1</v>
      </c>
      <c r="R27" s="1009">
        <v>0</v>
      </c>
      <c r="S27" s="709">
        <f t="shared" si="10"/>
        <v>452</v>
      </c>
      <c r="T27" s="1005">
        <f t="shared" si="11"/>
        <v>0</v>
      </c>
      <c r="U27" s="711">
        <f t="shared" si="12"/>
        <v>583.99270157598448</v>
      </c>
      <c r="V27" s="1014">
        <f t="shared" si="3"/>
        <v>68.711769825167252</v>
      </c>
      <c r="W27" s="711">
        <v>1</v>
      </c>
      <c r="X27" s="711">
        <f t="shared" si="4"/>
        <v>583.99270157598448</v>
      </c>
      <c r="Y27" s="1014">
        <f t="shared" si="13"/>
        <v>68.711769825167252</v>
      </c>
      <c r="Z27" s="845">
        <f t="shared" si="5"/>
        <v>33.259385717656286</v>
      </c>
      <c r="AA27" s="1014">
        <f t="shared" si="6"/>
        <v>28.880174539044653</v>
      </c>
      <c r="AB27" s="845">
        <f t="shared" si="7"/>
        <v>33.259385717656286</v>
      </c>
      <c r="AC27" s="1014">
        <f t="shared" si="8"/>
        <v>26.818382440022337</v>
      </c>
      <c r="AD27" s="708">
        <f t="shared" si="17"/>
        <v>1</v>
      </c>
      <c r="AE27" s="1018">
        <f t="shared" si="16"/>
        <v>1.1849828525484734</v>
      </c>
      <c r="AG27" s="566"/>
      <c r="AN27" s="916"/>
    </row>
    <row r="28" spans="1:40" ht="24.75" customHeight="1">
      <c r="A28" s="1782"/>
      <c r="B28" s="1748"/>
      <c r="C28" s="1748"/>
      <c r="D28" s="1748"/>
      <c r="E28" s="1741" t="s">
        <v>495</v>
      </c>
      <c r="F28" s="801" t="s">
        <v>509</v>
      </c>
      <c r="G28" s="747">
        <f>'Statewide Ref Dispostion'!AN22</f>
        <v>3.297520714939247E-2</v>
      </c>
      <c r="H28" s="1292">
        <f>'Statewide Ref Dispostion'!AP22</f>
        <v>2.6751857303164588</v>
      </c>
      <c r="I28" s="703">
        <f t="shared" si="0"/>
        <v>1035.9927015759845</v>
      </c>
      <c r="J28" s="1005">
        <f t="shared" si="1"/>
        <v>68.711769825167252</v>
      </c>
      <c r="K28" s="701">
        <v>1</v>
      </c>
      <c r="L28" s="1009">
        <v>0</v>
      </c>
      <c r="M28" s="709">
        <f t="shared" si="2"/>
        <v>1035.9927015759845</v>
      </c>
      <c r="N28" s="1010">
        <f t="shared" si="9"/>
        <v>68.711769825167252</v>
      </c>
      <c r="O28" s="709">
        <f>(791*0.6)+(1036*0.4)</f>
        <v>889</v>
      </c>
      <c r="P28" s="1010">
        <f>SQRT($H$4^2+$H$5^2)</f>
        <v>119.68837584538761</v>
      </c>
      <c r="Q28" s="701">
        <v>1</v>
      </c>
      <c r="R28" s="1009">
        <v>0</v>
      </c>
      <c r="S28" s="709">
        <f t="shared" si="10"/>
        <v>889</v>
      </c>
      <c r="T28" s="1005">
        <f t="shared" si="11"/>
        <v>119.68837584538761</v>
      </c>
      <c r="U28" s="711">
        <f t="shared" si="12"/>
        <v>146.99270157598448</v>
      </c>
      <c r="V28" s="1014">
        <f t="shared" si="3"/>
        <v>138.009472953901</v>
      </c>
      <c r="W28" s="711">
        <v>1</v>
      </c>
      <c r="X28" s="711">
        <f t="shared" si="4"/>
        <v>146.99270157598448</v>
      </c>
      <c r="Y28" s="1014">
        <f t="shared" si="13"/>
        <v>138.009472953901</v>
      </c>
      <c r="Z28" s="845">
        <f t="shared" si="5"/>
        <v>4.8471147839169175</v>
      </c>
      <c r="AA28" s="1014">
        <f t="shared" si="6"/>
        <v>6.1255116190875132</v>
      </c>
      <c r="AB28" s="845">
        <f t="shared" si="7"/>
        <v>4.8471147839169175</v>
      </c>
      <c r="AC28" s="1014">
        <f t="shared" si="8"/>
        <v>6.0144667485916168</v>
      </c>
      <c r="AD28" s="708">
        <f t="shared" si="17"/>
        <v>1</v>
      </c>
      <c r="AE28" s="1018">
        <f t="shared" si="16"/>
        <v>1.7710783667994163</v>
      </c>
      <c r="AG28" s="566"/>
      <c r="AN28" s="916"/>
    </row>
    <row r="29" spans="1:40">
      <c r="A29" s="1782"/>
      <c r="B29" s="1748"/>
      <c r="C29" s="1748"/>
      <c r="D29" s="1748"/>
      <c r="E29" s="1741"/>
      <c r="F29" s="801" t="s">
        <v>511</v>
      </c>
      <c r="G29" s="747">
        <f>'Statewide Ref Dispostion'!AN23</f>
        <v>2.8933750518450236E-3</v>
      </c>
      <c r="H29" s="1292">
        <f>'Statewide Ref Dispostion'!AP23</f>
        <v>0.31005092682723129</v>
      </c>
      <c r="I29" s="703">
        <f t="shared" si="0"/>
        <v>1035.9927015759845</v>
      </c>
      <c r="J29" s="1005">
        <f t="shared" si="1"/>
        <v>68.711769825167252</v>
      </c>
      <c r="K29" s="701">
        <f>'Part KIU-KU'!H$25</f>
        <v>0.90680879999999997</v>
      </c>
      <c r="L29" s="1009">
        <f>'Part KIU-KU'!$J$25</f>
        <v>3.5229200000000002E-2</v>
      </c>
      <c r="M29" s="709">
        <f t="shared" si="2"/>
        <v>939.4472985248766</v>
      </c>
      <c r="N29" s="1010">
        <f t="shared" si="9"/>
        <v>62.309506444223977</v>
      </c>
      <c r="O29" s="709">
        <v>0</v>
      </c>
      <c r="P29" s="1010"/>
      <c r="Q29" s="701">
        <v>1</v>
      </c>
      <c r="R29" s="1009">
        <v>0</v>
      </c>
      <c r="S29" s="709">
        <f t="shared" si="10"/>
        <v>0</v>
      </c>
      <c r="T29" s="1005">
        <f t="shared" si="11"/>
        <v>0</v>
      </c>
      <c r="U29" s="711">
        <f t="shared" si="12"/>
        <v>939.4472985248766</v>
      </c>
      <c r="V29" s="1014">
        <f t="shared" si="3"/>
        <v>62.309506444223977</v>
      </c>
      <c r="W29" s="711">
        <v>1</v>
      </c>
      <c r="X29" s="711">
        <f t="shared" si="4"/>
        <v>939.4472985248766</v>
      </c>
      <c r="Y29" s="1014">
        <f t="shared" si="13"/>
        <v>62.309506444223977</v>
      </c>
      <c r="Z29" s="845">
        <f t="shared" si="5"/>
        <v>2.7181733760750824</v>
      </c>
      <c r="AA29" s="1014">
        <f t="shared" si="6"/>
        <v>2.9957045144751073</v>
      </c>
      <c r="AB29" s="845">
        <f t="shared" si="7"/>
        <v>2.7181733760750824</v>
      </c>
      <c r="AC29" s="1014">
        <f t="shared" si="8"/>
        <v>2.9183390603257995</v>
      </c>
      <c r="AD29" s="708">
        <f t="shared" si="17"/>
        <v>1</v>
      </c>
      <c r="AE29" s="1018"/>
      <c r="AG29" s="566"/>
      <c r="AN29" s="916"/>
    </row>
    <row r="30" spans="1:40" ht="24" customHeight="1">
      <c r="A30" s="1782"/>
      <c r="B30" s="1748"/>
      <c r="C30" s="1748"/>
      <c r="D30" s="1788" t="s">
        <v>343</v>
      </c>
      <c r="E30" s="1783" t="s">
        <v>345</v>
      </c>
      <c r="F30" s="1783"/>
      <c r="G30" s="748">
        <f>'Statewide Ref Dispostion'!AN24</f>
        <v>9.318003797670742E-3</v>
      </c>
      <c r="H30" s="1293">
        <f>'Statewide Ref Dispostion'!AP24</f>
        <v>0.77282016983257151</v>
      </c>
      <c r="I30" s="703">
        <f t="shared" si="0"/>
        <v>1035.9927015759845</v>
      </c>
      <c r="J30" s="1005">
        <f t="shared" si="1"/>
        <v>68.711769825167252</v>
      </c>
      <c r="K30" s="701">
        <f>'Part KIU-KU'!H$25</f>
        <v>0.90680879999999997</v>
      </c>
      <c r="L30" s="1009">
        <f>'Part KIU-KU'!$J$25</f>
        <v>3.5229200000000002E-2</v>
      </c>
      <c r="M30" s="709">
        <f t="shared" si="2"/>
        <v>939.4472985248766</v>
      </c>
      <c r="N30" s="1010">
        <f t="shared" si="9"/>
        <v>62.309506444223977</v>
      </c>
      <c r="O30" s="709">
        <f>$G$6</f>
        <v>783</v>
      </c>
      <c r="P30" s="1010">
        <f>$H$6</f>
        <v>106</v>
      </c>
      <c r="Q30" s="701">
        <f>'Part KIU-KU'!H$25</f>
        <v>0.90680879999999997</v>
      </c>
      <c r="R30" s="1009">
        <f>'Part KIU-KU'!$J$25</f>
        <v>3.5229200000000002E-2</v>
      </c>
      <c r="S30" s="709">
        <f t="shared" si="10"/>
        <v>710.03129039999999</v>
      </c>
      <c r="T30" s="1005">
        <f t="shared" si="11"/>
        <v>96.122128600743167</v>
      </c>
      <c r="U30" s="711">
        <f t="shared" si="12"/>
        <v>229.41600812487661</v>
      </c>
      <c r="V30" s="1014">
        <f t="shared" si="3"/>
        <v>114.55102880402514</v>
      </c>
      <c r="W30" s="711">
        <v>1</v>
      </c>
      <c r="X30" s="711">
        <f t="shared" si="4"/>
        <v>229.41600812487661</v>
      </c>
      <c r="Y30" s="1014">
        <f t="shared" si="13"/>
        <v>114.55102880402514</v>
      </c>
      <c r="Z30" s="845">
        <f t="shared" si="5"/>
        <v>2.137699234954062</v>
      </c>
      <c r="AA30" s="1014">
        <f t="shared" si="6"/>
        <v>2.3292028926522232</v>
      </c>
      <c r="AB30" s="845">
        <f t="shared" si="7"/>
        <v>2.137699234954062</v>
      </c>
      <c r="AC30" s="1014">
        <f t="shared" si="8"/>
        <v>2.0694803091207308</v>
      </c>
      <c r="AD30" s="708">
        <f t="shared" si="17"/>
        <v>1</v>
      </c>
      <c r="AE30" s="1018">
        <f t="shared" si="16"/>
        <v>1.4575277265041564</v>
      </c>
      <c r="AG30" s="566"/>
      <c r="AN30" s="916"/>
    </row>
    <row r="31" spans="1:40">
      <c r="A31" s="1782"/>
      <c r="B31" s="1748"/>
      <c r="C31" s="1748"/>
      <c r="D31" s="1788"/>
      <c r="E31" s="1783" t="s">
        <v>346</v>
      </c>
      <c r="F31" s="1783"/>
      <c r="G31" s="748">
        <f>'Statewide Ref Dispostion'!AN25</f>
        <v>5.3098210650899032E-3</v>
      </c>
      <c r="H31" s="1293">
        <f>'Statewide Ref Dispostion'!AP25</f>
        <v>0.47994651336711391</v>
      </c>
      <c r="I31" s="703">
        <f t="shared" si="0"/>
        <v>1035.9927015759845</v>
      </c>
      <c r="J31" s="1005">
        <f t="shared" si="1"/>
        <v>68.711769825167252</v>
      </c>
      <c r="K31" s="701">
        <f>'Part KIU-KU'!H$25</f>
        <v>0.90680879999999997</v>
      </c>
      <c r="L31" s="1009">
        <f>'Part KIU-KU'!$J$25</f>
        <v>3.5229200000000002E-2</v>
      </c>
      <c r="M31" s="709">
        <f t="shared" si="2"/>
        <v>939.4472985248766</v>
      </c>
      <c r="N31" s="1010">
        <f t="shared" si="9"/>
        <v>62.309506444223977</v>
      </c>
      <c r="O31" s="709">
        <f>G7</f>
        <v>452</v>
      </c>
      <c r="P31" s="1010"/>
      <c r="Q31" s="701">
        <f>'Part KIU-KU'!H$25</f>
        <v>0.90680879999999997</v>
      </c>
      <c r="R31" s="1009">
        <f>'Part KIU-KU'!$J$25</f>
        <v>3.5229200000000002E-2</v>
      </c>
      <c r="S31" s="709">
        <f t="shared" si="10"/>
        <v>409.8775776</v>
      </c>
      <c r="T31" s="1005">
        <f t="shared" si="11"/>
        <v>0.159235984</v>
      </c>
      <c r="U31" s="711">
        <f t="shared" si="12"/>
        <v>529.56972092487661</v>
      </c>
      <c r="V31" s="1014">
        <f t="shared" si="3"/>
        <v>62.309709912832929</v>
      </c>
      <c r="W31" s="711">
        <v>1</v>
      </c>
      <c r="X31" s="711">
        <f t="shared" si="4"/>
        <v>529.56972092487661</v>
      </c>
      <c r="Y31" s="1014">
        <f t="shared" si="13"/>
        <v>62.309709912832929</v>
      </c>
      <c r="Z31" s="845">
        <f t="shared" si="5"/>
        <v>2.811920459600691</v>
      </c>
      <c r="AA31" s="1014">
        <f t="shared" si="6"/>
        <v>2.7185152879159045</v>
      </c>
      <c r="AB31" s="845">
        <f t="shared" si="7"/>
        <v>2.811920459600691</v>
      </c>
      <c r="AC31" s="1014">
        <f t="shared" si="8"/>
        <v>2.5630949799579392</v>
      </c>
      <c r="AD31" s="708">
        <f t="shared" si="17"/>
        <v>1</v>
      </c>
      <c r="AE31" s="1018">
        <f t="shared" si="16"/>
        <v>1.3287285746730342</v>
      </c>
      <c r="AG31" s="566"/>
      <c r="AN31" s="916"/>
    </row>
    <row r="32" spans="1:40">
      <c r="A32" s="1782"/>
      <c r="B32" s="1748"/>
      <c r="C32" s="1748"/>
      <c r="D32" s="1788"/>
      <c r="E32" s="1783" t="s">
        <v>347</v>
      </c>
      <c r="F32" s="1783"/>
      <c r="G32" s="748">
        <f>'Statewide Ref Dispostion'!AN26</f>
        <v>1.1841082338023101E-3</v>
      </c>
      <c r="H32" s="1293">
        <f>'Statewide Ref Dispostion'!AP26</f>
        <v>0.15243155333857014</v>
      </c>
      <c r="I32" s="703">
        <f t="shared" si="0"/>
        <v>1035.9927015759845</v>
      </c>
      <c r="J32" s="1005">
        <f t="shared" si="1"/>
        <v>68.711769825167252</v>
      </c>
      <c r="K32" s="701">
        <f>'Part KIU-KU'!H$25</f>
        <v>0.90680879999999997</v>
      </c>
      <c r="L32" s="1009">
        <f>'Part KIU-KU'!$J$25</f>
        <v>3.5229200000000002E-2</v>
      </c>
      <c r="M32" s="709">
        <f t="shared" si="2"/>
        <v>939.4472985248766</v>
      </c>
      <c r="N32" s="1010">
        <f t="shared" si="9"/>
        <v>62.309506444223977</v>
      </c>
      <c r="O32" s="709">
        <v>0</v>
      </c>
      <c r="P32" s="1010"/>
      <c r="Q32" s="701">
        <f>'Part KIU-KU'!H$25</f>
        <v>0.90680879999999997</v>
      </c>
      <c r="R32" s="1009">
        <f>'Part KIU-KU'!$J$25</f>
        <v>3.5229200000000002E-2</v>
      </c>
      <c r="S32" s="709">
        <f t="shared" si="10"/>
        <v>0</v>
      </c>
      <c r="T32" s="1005">
        <f t="shared" si="11"/>
        <v>0</v>
      </c>
      <c r="U32" s="711">
        <f t="shared" si="12"/>
        <v>939.4472985248766</v>
      </c>
      <c r="V32" s="1014">
        <f t="shared" si="3"/>
        <v>62.309506444223977</v>
      </c>
      <c r="W32" s="711">
        <v>1</v>
      </c>
      <c r="X32" s="711">
        <f t="shared" si="4"/>
        <v>939.4472985248766</v>
      </c>
      <c r="Y32" s="1014">
        <f t="shared" si="13"/>
        <v>62.309506444223977</v>
      </c>
      <c r="Z32" s="845">
        <f t="shared" si="5"/>
        <v>1.1124072814066432</v>
      </c>
      <c r="AA32" s="1014">
        <f t="shared" si="6"/>
        <v>1.4603900693845606</v>
      </c>
      <c r="AB32" s="845">
        <f t="shared" si="7"/>
        <v>1.1124072814066432</v>
      </c>
      <c r="AC32" s="1014">
        <f t="shared" si="8"/>
        <v>1.4339135526528808</v>
      </c>
      <c r="AD32" s="708">
        <f t="shared" si="17"/>
        <v>1</v>
      </c>
      <c r="AE32" s="1018">
        <f t="shared" si="16"/>
        <v>1.8398543246601649</v>
      </c>
      <c r="AG32" s="566"/>
      <c r="AN32" s="916"/>
    </row>
    <row r="33" spans="1:40" ht="24" customHeight="1">
      <c r="A33" s="1782"/>
      <c r="B33" s="1748"/>
      <c r="C33" s="1784" t="s">
        <v>342</v>
      </c>
      <c r="D33" s="1781" t="s">
        <v>349</v>
      </c>
      <c r="E33" s="1781"/>
      <c r="F33" s="1781"/>
      <c r="G33" s="749">
        <f>'Statewide Ref Dispostion'!AN27</f>
        <v>1.105280935239851E-2</v>
      </c>
      <c r="H33" s="1294">
        <f>'Statewide Ref Dispostion'!AP27</f>
        <v>0.86811967799163647</v>
      </c>
      <c r="I33" s="703">
        <f t="shared" si="0"/>
        <v>1035.9927015759845</v>
      </c>
      <c r="J33" s="1005">
        <f t="shared" si="1"/>
        <v>68.711769825167252</v>
      </c>
      <c r="K33" s="701">
        <v>1</v>
      </c>
      <c r="L33" s="1009">
        <v>0</v>
      </c>
      <c r="M33" s="709">
        <f t="shared" si="2"/>
        <v>1035.9927015759845</v>
      </c>
      <c r="N33" s="1010">
        <f t="shared" si="9"/>
        <v>68.711769825167252</v>
      </c>
      <c r="O33" s="709">
        <f>$G$6</f>
        <v>783</v>
      </c>
      <c r="P33" s="1010">
        <f>$H$6</f>
        <v>106</v>
      </c>
      <c r="Q33" s="701">
        <v>1</v>
      </c>
      <c r="R33" s="1009">
        <v>0</v>
      </c>
      <c r="S33" s="709">
        <f t="shared" si="10"/>
        <v>783</v>
      </c>
      <c r="T33" s="1005">
        <f t="shared" si="11"/>
        <v>106.00000000000001</v>
      </c>
      <c r="U33" s="711">
        <f t="shared" si="12"/>
        <v>252.99270157598448</v>
      </c>
      <c r="V33" s="1014">
        <f t="shared" si="3"/>
        <v>126.32223601768126</v>
      </c>
      <c r="W33" s="711">
        <v>1</v>
      </c>
      <c r="X33" s="711">
        <f t="shared" si="4"/>
        <v>252.99270157598448</v>
      </c>
      <c r="Y33" s="1014">
        <f t="shared" si="13"/>
        <v>126.32223601768126</v>
      </c>
      <c r="Z33" s="845">
        <f t="shared" si="5"/>
        <v>2.7962800980676064</v>
      </c>
      <c r="AA33" s="1014">
        <f t="shared" si="6"/>
        <v>2.9542940256233781</v>
      </c>
      <c r="AB33" s="845">
        <f t="shared" si="7"/>
        <v>2.7962800980676064</v>
      </c>
      <c r="AC33" s="1014">
        <f t="shared" si="8"/>
        <v>2.6025105757052893</v>
      </c>
      <c r="AD33" s="708">
        <f t="shared" si="17"/>
        <v>1</v>
      </c>
      <c r="AE33" s="1018">
        <f t="shared" si="16"/>
        <v>1.4079848717280881</v>
      </c>
      <c r="AG33" s="566"/>
      <c r="AN33" s="916"/>
    </row>
    <row r="34" spans="1:40">
      <c r="A34" s="1782"/>
      <c r="B34" s="1748"/>
      <c r="C34" s="1784"/>
      <c r="D34" s="1781" t="s">
        <v>350</v>
      </c>
      <c r="E34" s="1781"/>
      <c r="F34" s="1781"/>
      <c r="G34" s="749">
        <f>'Statewide Ref Dispostion'!AN28</f>
        <v>5.6345838280219213E-3</v>
      </c>
      <c r="H34" s="1294">
        <f>'Statewide Ref Dispostion'!AP28</f>
        <v>0.44255654308719217</v>
      </c>
      <c r="I34" s="703">
        <f t="shared" si="0"/>
        <v>1035.9927015759845</v>
      </c>
      <c r="J34" s="1005">
        <f t="shared" si="1"/>
        <v>68.711769825167252</v>
      </c>
      <c r="K34" s="701">
        <v>1</v>
      </c>
      <c r="L34" s="1009">
        <v>0</v>
      </c>
      <c r="M34" s="709">
        <f t="shared" si="2"/>
        <v>1035.9927015759845</v>
      </c>
      <c r="N34" s="1010">
        <f t="shared" si="9"/>
        <v>68.711769825167252</v>
      </c>
      <c r="O34" s="709">
        <f>$G$6</f>
        <v>783</v>
      </c>
      <c r="P34" s="1010">
        <f>$H$6</f>
        <v>106</v>
      </c>
      <c r="Q34" s="701">
        <v>1</v>
      </c>
      <c r="R34" s="1009">
        <v>0</v>
      </c>
      <c r="S34" s="709">
        <f t="shared" si="10"/>
        <v>783</v>
      </c>
      <c r="T34" s="1005">
        <f t="shared" si="11"/>
        <v>106.00000000000001</v>
      </c>
      <c r="U34" s="711">
        <f t="shared" si="12"/>
        <v>252.99270157598448</v>
      </c>
      <c r="V34" s="1014">
        <f t="shared" si="3"/>
        <v>126.32223601768126</v>
      </c>
      <c r="W34" s="711">
        <v>1</v>
      </c>
      <c r="X34" s="711">
        <f t="shared" si="4"/>
        <v>252.99270157598448</v>
      </c>
      <c r="Y34" s="1014">
        <f t="shared" si="13"/>
        <v>126.32223601768126</v>
      </c>
      <c r="Z34" s="845">
        <f t="shared" si="5"/>
        <v>1.4255085849076181</v>
      </c>
      <c r="AA34" s="1014">
        <f t="shared" si="6"/>
        <v>1.5060621068603668</v>
      </c>
      <c r="AB34" s="845">
        <f t="shared" si="7"/>
        <v>1.4255085849076181</v>
      </c>
      <c r="AC34" s="1014">
        <f t="shared" si="8"/>
        <v>1.3267273083781974</v>
      </c>
      <c r="AD34" s="708">
        <f t="shared" si="17"/>
        <v>1</v>
      </c>
      <c r="AE34" s="1018">
        <f t="shared" si="16"/>
        <v>1.4079848717280881</v>
      </c>
      <c r="AG34" s="566"/>
      <c r="AN34" s="916"/>
    </row>
    <row r="35" spans="1:40">
      <c r="A35" s="1782"/>
      <c r="B35" s="1748"/>
      <c r="C35" s="1784"/>
      <c r="D35" s="1781" t="s">
        <v>57</v>
      </c>
      <c r="E35" s="1781"/>
      <c r="F35" s="1781"/>
      <c r="G35" s="749">
        <f>'Statewide Ref Dispostion'!AN29</f>
        <v>6.6700356800320753E-3</v>
      </c>
      <c r="H35" s="1294">
        <f>'Statewide Ref Dispostion'!AP29</f>
        <v>0.52388393232220454</v>
      </c>
      <c r="I35" s="703">
        <f t="shared" si="0"/>
        <v>1035.9927015759845</v>
      </c>
      <c r="J35" s="1005">
        <f t="shared" si="1"/>
        <v>68.711769825167252</v>
      </c>
      <c r="K35" s="701">
        <v>1</v>
      </c>
      <c r="L35" s="1009">
        <v>0</v>
      </c>
      <c r="M35" s="709">
        <f t="shared" si="2"/>
        <v>1035.9927015759845</v>
      </c>
      <c r="N35" s="1010">
        <f t="shared" si="9"/>
        <v>68.711769825167252</v>
      </c>
      <c r="O35" s="709">
        <f>$G$6</f>
        <v>783</v>
      </c>
      <c r="P35" s="1010">
        <f>$H$6</f>
        <v>106</v>
      </c>
      <c r="Q35" s="701">
        <v>1</v>
      </c>
      <c r="R35" s="1009">
        <v>0</v>
      </c>
      <c r="S35" s="709">
        <f t="shared" si="10"/>
        <v>783</v>
      </c>
      <c r="T35" s="1005">
        <f t="shared" si="11"/>
        <v>106.00000000000001</v>
      </c>
      <c r="U35" s="711">
        <f t="shared" si="12"/>
        <v>252.99270157598448</v>
      </c>
      <c r="V35" s="1014">
        <f t="shared" si="3"/>
        <v>126.32223601768126</v>
      </c>
      <c r="W35" s="711">
        <v>1</v>
      </c>
      <c r="X35" s="711">
        <f t="shared" si="4"/>
        <v>252.99270157598448</v>
      </c>
      <c r="Y35" s="1014">
        <f t="shared" si="13"/>
        <v>126.32223601768126</v>
      </c>
      <c r="Z35" s="845">
        <f t="shared" si="5"/>
        <v>1.6874703462995235</v>
      </c>
      <c r="AA35" s="1014">
        <f t="shared" si="6"/>
        <v>1.7828269657014755</v>
      </c>
      <c r="AB35" s="845">
        <f t="shared" si="7"/>
        <v>1.6874703462995235</v>
      </c>
      <c r="AC35" s="1014">
        <f t="shared" si="8"/>
        <v>1.5705363083864421</v>
      </c>
      <c r="AD35" s="708">
        <f t="shared" si="17"/>
        <v>1</v>
      </c>
      <c r="AE35" s="1018">
        <f t="shared" si="16"/>
        <v>1.4079848717280881</v>
      </c>
      <c r="AG35" s="566"/>
      <c r="AN35" s="916"/>
    </row>
    <row r="36" spans="1:40">
      <c r="A36" s="1782"/>
      <c r="B36" s="1748"/>
      <c r="C36" s="1780" t="s">
        <v>266</v>
      </c>
      <c r="D36" s="1780"/>
      <c r="E36" s="1780"/>
      <c r="F36" s="1780"/>
      <c r="G36" s="749">
        <f>'Statewide Ref Dispostion'!AN30</f>
        <v>0.11329664889249251</v>
      </c>
      <c r="H36" s="1294">
        <f>'Statewide Ref Dispostion'!AP30</f>
        <v>8.8986471419357827</v>
      </c>
      <c r="I36" s="709">
        <f>SUMPRODUCT(I$17:I$35,$G$17:$G$35)/SUM($G$17:$G$35)</f>
        <v>1035.9927015759843</v>
      </c>
      <c r="J36" s="1006">
        <f t="shared" ref="J36:T36" si="18">SUMPRODUCT(J$17:J$35,$G$17:$G$35)/SUM($G$17:$G$35)</f>
        <v>68.711769825167224</v>
      </c>
      <c r="K36" s="701">
        <f t="shared" si="18"/>
        <v>0.98178700853973866</v>
      </c>
      <c r="L36" s="1006">
        <f t="shared" si="18"/>
        <v>6.8850826982786474E-3</v>
      </c>
      <c r="M36" s="709">
        <f t="shared" si="18"/>
        <v>1017.1241753492882</v>
      </c>
      <c r="N36" s="1006">
        <f t="shared" si="18"/>
        <v>67.460531851158294</v>
      </c>
      <c r="O36" s="709">
        <v>457</v>
      </c>
      <c r="P36" s="1006">
        <f t="shared" si="18"/>
        <v>66.096831993989923</v>
      </c>
      <c r="Q36" s="701">
        <f t="shared" si="18"/>
        <v>0.9822864980314816</v>
      </c>
      <c r="R36" s="1006">
        <f t="shared" si="18"/>
        <v>5.7810635639091081E-3</v>
      </c>
      <c r="S36" s="709">
        <v>454</v>
      </c>
      <c r="T36" s="1006">
        <f t="shared" si="18"/>
        <v>65.491040445075782</v>
      </c>
      <c r="U36" s="711">
        <f t="shared" si="12"/>
        <v>563.12417534928818</v>
      </c>
      <c r="V36" s="1014">
        <f t="shared" si="3"/>
        <v>94.021272785576002</v>
      </c>
      <c r="W36" s="711">
        <v>0</v>
      </c>
      <c r="X36" s="711">
        <f t="shared" si="4"/>
        <v>0</v>
      </c>
      <c r="Y36" s="1014">
        <v>0</v>
      </c>
      <c r="Z36" s="845">
        <f t="shared" si="5"/>
        <v>63.800081977422685</v>
      </c>
      <c r="AA36" s="1014">
        <f t="shared" si="6"/>
        <v>56.486041033758909</v>
      </c>
      <c r="AB36" s="845">
        <f t="shared" si="7"/>
        <v>0</v>
      </c>
      <c r="AC36" s="1014">
        <f t="shared" si="8"/>
        <v>0</v>
      </c>
      <c r="AD36" s="708">
        <f t="shared" si="17"/>
        <v>0</v>
      </c>
      <c r="AE36" s="1018">
        <f t="shared" si="16"/>
        <v>0</v>
      </c>
      <c r="AG36" s="566"/>
      <c r="AN36" s="916"/>
    </row>
    <row r="37" spans="1:40" ht="15" customHeight="1">
      <c r="E37" s="432" t="s">
        <v>5</v>
      </c>
      <c r="F37" s="432"/>
      <c r="G37" s="419">
        <f>SUM(G14:G36)</f>
        <v>0.99446916635964477</v>
      </c>
      <c r="H37" s="800"/>
      <c r="I37" s="709">
        <f>SUMPRODUCT($G14:$G36,I14:I36)/SUM(G14:G36)</f>
        <v>1035.9927015759843</v>
      </c>
      <c r="J37" s="1007"/>
      <c r="K37" s="701">
        <f>SUMPRODUCT($G14:$G36,K14:K36)</f>
        <v>0.94349446975977314</v>
      </c>
      <c r="L37" s="1007"/>
      <c r="M37" s="709">
        <f>SUMPRODUCT($G14:$G36,M14:M36)</f>
        <v>977.45338464842825</v>
      </c>
      <c r="N37" s="1011"/>
      <c r="O37" s="709">
        <f>SUMPRODUCT($G14:$G36,O14:O36)</f>
        <v>637.01672893703039</v>
      </c>
      <c r="P37" s="1007"/>
      <c r="Q37" s="701">
        <f>SUMPRODUCT($G14:$G36,Q14:Q36)</f>
        <v>0.81976608150305719</v>
      </c>
      <c r="R37" s="1011"/>
      <c r="S37" s="709">
        <f>SUMPRODUCT($G14:$G36,S14:S36)</f>
        <v>467.35756794163933</v>
      </c>
      <c r="T37" s="1011"/>
      <c r="U37" s="709">
        <f>SUMPRODUCT($G14:$G36,U14:U36)</f>
        <v>510.09581670678864</v>
      </c>
      <c r="V37" s="1007"/>
      <c r="W37" s="701"/>
      <c r="X37" s="709">
        <f>SUMPRODUCT($G14:$G36,X14:X36)</f>
        <v>344.07790710639603</v>
      </c>
      <c r="Y37" s="625"/>
      <c r="Z37" s="760">
        <f>SUM(Z14:Z36)</f>
        <v>510.09581670678864</v>
      </c>
      <c r="AA37" s="1016">
        <f>SQRT(AA14^2+AA15^2+AA16^2+AA17^2+AA18^2+AA19^2+AA20^2+AA22^2+AA23^2+AA24^2+AA25^2+AA26^2+AA27^2+AA28^2+AA30^2+AA31^2+AA32^2+AA33^2+AA34^2+AA35^2+AA36^2)</f>
        <v>100.46966500171412</v>
      </c>
      <c r="AB37" s="762">
        <f>SUM(AB14:AB36)</f>
        <v>344.07790710639603</v>
      </c>
      <c r="AC37" s="1016">
        <f>SQRT(AC14^2+AC15^2+AC16^2+AC17^2+AC18^2+AC19^2+AC20^2+AC22^2+AC23^2+AC24^2+AC25^2+AC26^2+AC27^2+AC28^2+AC30^2+AC31^2+AC32^2+AC33^2+AC34^2+AC35^2+AC36^2)</f>
        <v>57.316037683155521</v>
      </c>
      <c r="AD37" s="763">
        <f>AB37/Z37</f>
        <v>0.67453583392976069</v>
      </c>
      <c r="AE37" s="1020">
        <f>AD37*SQRT(IF(Z37&gt;0,(AA37/Z37)^2,0)+IF(AB37&gt;0,(AC37/AB37)^2,0))</f>
        <v>0.17400228597332529</v>
      </c>
      <c r="AN37" s="916"/>
    </row>
    <row r="38" spans="1:40" ht="15" customHeight="1">
      <c r="E38" s="432"/>
      <c r="F38" s="432"/>
      <c r="G38" s="419"/>
      <c r="H38" s="334"/>
      <c r="I38" s="1274"/>
      <c r="J38" s="1275"/>
      <c r="K38" s="1276"/>
      <c r="L38" s="1275"/>
      <c r="M38" s="1274"/>
      <c r="N38" s="1277"/>
      <c r="O38" s="1274"/>
      <c r="R38" s="1269" t="s">
        <v>940</v>
      </c>
      <c r="S38" s="1271"/>
      <c r="T38" s="1270"/>
      <c r="U38" s="1270"/>
      <c r="V38" s="1272">
        <f>SQRT(SUMPRODUCT(V14:V36,V14:V36,$G14:$G36,$G14:$G36))</f>
        <v>29.343359197168589</v>
      </c>
      <c r="W38" s="1271"/>
      <c r="X38" s="1280"/>
      <c r="Y38" s="1272">
        <f>SQRT(SUMPRODUCT(Y14:Y36,Y14:Y36,G14:G36,G14:G36))</f>
        <v>21.360954286383937</v>
      </c>
      <c r="AN38" s="916"/>
    </row>
    <row r="39" spans="1:40" ht="15" customHeight="1">
      <c r="E39" s="432"/>
      <c r="F39" s="432"/>
      <c r="G39" s="419"/>
      <c r="H39" s="334"/>
      <c r="I39" s="1274"/>
      <c r="J39" s="1275"/>
      <c r="K39" s="1276"/>
      <c r="L39" s="1275"/>
      <c r="M39" s="1274"/>
      <c r="N39" s="1277"/>
      <c r="O39" s="1274"/>
      <c r="R39" s="1269" t="s">
        <v>941</v>
      </c>
      <c r="S39" s="1271"/>
      <c r="T39" s="1270"/>
      <c r="U39" s="1271"/>
      <c r="V39" s="1272">
        <f>SQRT(SUMPRODUCT($H14:$H36,$H14:$H36,U14:U36,U14:U36))/100</f>
        <v>74.528529126223233</v>
      </c>
      <c r="W39" s="1271"/>
      <c r="X39" s="1280"/>
      <c r="Y39" s="1272">
        <f>SQRT(SUMPRODUCT($H14:$H36,$H14:$H36,X14:X36,X14:X36))/100</f>
        <v>53.828919937698942</v>
      </c>
      <c r="AN39" s="916"/>
    </row>
    <row r="40" spans="1:40" ht="15" customHeight="1">
      <c r="E40" s="432"/>
      <c r="F40" s="432"/>
      <c r="G40" s="419"/>
      <c r="H40" s="334"/>
      <c r="I40" s="1274"/>
      <c r="J40" s="1275"/>
      <c r="K40" s="1276"/>
      <c r="L40" s="1275"/>
      <c r="M40" s="1274"/>
      <c r="N40" s="1277"/>
      <c r="O40" s="1274"/>
      <c r="R40" s="1272" t="s">
        <v>942</v>
      </c>
      <c r="S40" s="1271"/>
      <c r="T40" s="1271"/>
      <c r="U40" s="1273"/>
      <c r="V40" s="1272">
        <f>SQRT(V38^2+V39^2)</f>
        <v>80.097031047925626</v>
      </c>
      <c r="W40" s="1271"/>
      <c r="X40" s="1280"/>
      <c r="Y40" s="1272">
        <f>SQRT(Y38^2+Y39^2)</f>
        <v>57.912373372917351</v>
      </c>
      <c r="AN40" s="916"/>
    </row>
    <row r="41" spans="1:40" ht="15" customHeight="1">
      <c r="K41" s="452"/>
      <c r="M41" s="452"/>
      <c r="Y41" s="450" t="s">
        <v>278</v>
      </c>
      <c r="Z41" s="451">
        <f>V40*Z45</f>
        <v>133.18257582673644</v>
      </c>
      <c r="AA41" s="450" t="s">
        <v>278</v>
      </c>
      <c r="AB41" s="451">
        <f>Y40*AB45</f>
        <v>96.2946935377649</v>
      </c>
      <c r="AC41" s="450" t="s">
        <v>278</v>
      </c>
      <c r="AD41" s="421">
        <f>AE37*AD45</f>
        <v>0.30503476931685858</v>
      </c>
      <c r="AG41" s="419"/>
    </row>
    <row r="42" spans="1:40">
      <c r="Y42" s="916" t="s">
        <v>279</v>
      </c>
      <c r="Z42" s="452">
        <f>Z37-Z41</f>
        <v>376.91324088005217</v>
      </c>
      <c r="AA42" s="916" t="s">
        <v>279</v>
      </c>
      <c r="AB42" s="452">
        <f>AB37-AB41</f>
        <v>247.78321356863114</v>
      </c>
      <c r="AC42" s="916" t="s">
        <v>279</v>
      </c>
      <c r="AD42" s="418">
        <f>AD37-AD41</f>
        <v>0.36950106461290211</v>
      </c>
    </row>
    <row r="43" spans="1:40">
      <c r="Y43" s="916" t="s">
        <v>280</v>
      </c>
      <c r="Z43" s="452">
        <f>Z37+Z41</f>
        <v>643.27839253352511</v>
      </c>
      <c r="AA43" s="916" t="s">
        <v>280</v>
      </c>
      <c r="AB43" s="452">
        <f>AB37+AB41</f>
        <v>440.37260064416091</v>
      </c>
      <c r="AC43" s="916" t="s">
        <v>280</v>
      </c>
      <c r="AD43" s="418">
        <f>AD37+AD41</f>
        <v>0.97957060324661926</v>
      </c>
    </row>
    <row r="44" spans="1:40">
      <c r="Y44" s="432" t="s">
        <v>286</v>
      </c>
      <c r="Z44" s="421">
        <f>Z41/Z37</f>
        <v>0.26109325241397136</v>
      </c>
      <c r="AB44" s="421">
        <f>AB41/AB37</f>
        <v>0.27986305295674968</v>
      </c>
      <c r="AD44" s="421">
        <f>AD41/AD37</f>
        <v>0.45221432868846195</v>
      </c>
    </row>
    <row r="45" spans="1:40">
      <c r="Z45" s="916">
        <f>TINV(0.1,Z47)</f>
        <v>1.662765449409072</v>
      </c>
      <c r="AB45" s="916">
        <f>TINV(0.1,Z47)</f>
        <v>1.662765449409072</v>
      </c>
      <c r="AD45" s="916">
        <f>TINV(0.1,AD47)</f>
        <v>1.7530503556925723</v>
      </c>
    </row>
    <row r="47" spans="1:40">
      <c r="Y47" s="138" t="s">
        <v>281</v>
      </c>
      <c r="Z47" s="916">
        <v>86</v>
      </c>
      <c r="AD47" s="916">
        <v>15</v>
      </c>
      <c r="AE47" s="916" t="s">
        <v>282</v>
      </c>
    </row>
    <row r="56" spans="32:32">
      <c r="AF56" s="331"/>
    </row>
    <row r="57" spans="32:32">
      <c r="AF57" s="331"/>
    </row>
    <row r="65" spans="18:40">
      <c r="AN65" s="916"/>
    </row>
    <row r="66" spans="18:40">
      <c r="AN66" s="916"/>
    </row>
    <row r="67" spans="18:40">
      <c r="AN67" s="916"/>
    </row>
    <row r="68" spans="18:40">
      <c r="AN68" s="916"/>
    </row>
    <row r="69" spans="18:40">
      <c r="AN69" s="916"/>
    </row>
    <row r="70" spans="18:40" ht="15" thickBot="1">
      <c r="AN70" s="916"/>
    </row>
    <row r="71" spans="18:40" ht="15.75" customHeight="1">
      <c r="R71" s="1774" t="s">
        <v>283</v>
      </c>
      <c r="S71" s="1776" t="s">
        <v>179</v>
      </c>
      <c r="T71" s="1778" t="s">
        <v>2</v>
      </c>
      <c r="U71" s="1778" t="s">
        <v>3</v>
      </c>
      <c r="V71" s="456" t="s">
        <v>245</v>
      </c>
      <c r="AN71" s="916"/>
    </row>
    <row r="72" spans="18:40" ht="27.6" thickBot="1">
      <c r="R72" s="1775"/>
      <c r="S72" s="1777"/>
      <c r="T72" s="1779"/>
      <c r="U72" s="1779"/>
      <c r="V72" s="453" t="s">
        <v>2</v>
      </c>
      <c r="AN72" s="916"/>
    </row>
    <row r="73" spans="18:40" ht="15" thickBot="1">
      <c r="R73" s="459" t="s">
        <v>284</v>
      </c>
      <c r="S73" s="454" t="s">
        <v>17</v>
      </c>
      <c r="T73" s="455">
        <v>6</v>
      </c>
      <c r="U73" s="455">
        <v>1.49</v>
      </c>
      <c r="V73" s="455">
        <v>6</v>
      </c>
      <c r="AN73" s="916"/>
    </row>
    <row r="74" spans="18:40" ht="15" thickBot="1">
      <c r="R74" s="459" t="s">
        <v>284</v>
      </c>
      <c r="S74" s="454" t="s">
        <v>18</v>
      </c>
      <c r="T74" s="455">
        <v>15</v>
      </c>
      <c r="U74" s="455">
        <v>3.72</v>
      </c>
      <c r="V74" s="455">
        <v>21</v>
      </c>
    </row>
    <row r="75" spans="18:40" ht="15" thickBot="1">
      <c r="R75" s="459" t="s">
        <v>284</v>
      </c>
      <c r="S75" s="454" t="s">
        <v>4</v>
      </c>
      <c r="T75" s="455">
        <v>1</v>
      </c>
      <c r="U75" s="455">
        <v>0.25</v>
      </c>
      <c r="V75" s="455">
        <v>22</v>
      </c>
    </row>
    <row r="76" spans="18:40" ht="15" thickBot="1">
      <c r="R76" s="459" t="s">
        <v>285</v>
      </c>
      <c r="S76" s="454" t="s">
        <v>17</v>
      </c>
      <c r="T76" s="455">
        <v>86</v>
      </c>
      <c r="U76" s="455">
        <v>21.34</v>
      </c>
      <c r="V76" s="455">
        <v>108</v>
      </c>
    </row>
    <row r="77" spans="18:40" ht="15" thickBot="1">
      <c r="R77" s="459" t="s">
        <v>285</v>
      </c>
      <c r="S77" s="454" t="s">
        <v>18</v>
      </c>
      <c r="T77" s="455">
        <v>214</v>
      </c>
      <c r="U77" s="455">
        <v>53.1</v>
      </c>
      <c r="V77" s="455">
        <v>322</v>
      </c>
    </row>
    <row r="78" spans="18:40" ht="25.5" customHeight="1">
      <c r="R78" s="461" t="s">
        <v>285</v>
      </c>
      <c r="S78" s="462" t="s">
        <v>4</v>
      </c>
      <c r="T78" s="463">
        <v>81</v>
      </c>
      <c r="U78" s="463">
        <v>20.100000000000001</v>
      </c>
      <c r="V78" s="463">
        <v>403</v>
      </c>
    </row>
    <row r="81" spans="23:23" ht="15" thickBot="1"/>
    <row r="82" spans="23:23" ht="27">
      <c r="W82" s="457" t="s">
        <v>245</v>
      </c>
    </row>
    <row r="83" spans="23:23" ht="15" thickBot="1">
      <c r="W83" s="458" t="s">
        <v>3</v>
      </c>
    </row>
    <row r="84" spans="23:23" ht="15" thickBot="1">
      <c r="W84" s="460">
        <v>1.49</v>
      </c>
    </row>
    <row r="85" spans="23:23" ht="15" thickBot="1">
      <c r="W85" s="460">
        <v>5.21</v>
      </c>
    </row>
    <row r="86" spans="23:23" ht="15" thickBot="1">
      <c r="W86" s="460">
        <v>5.46</v>
      </c>
    </row>
    <row r="87" spans="23:23" ht="15" thickBot="1">
      <c r="W87" s="460">
        <v>26.8</v>
      </c>
    </row>
    <row r="88" spans="23:23" ht="15" thickBot="1">
      <c r="W88" s="460">
        <v>79.900000000000006</v>
      </c>
    </row>
    <row r="89" spans="23:23">
      <c r="W89" s="464">
        <v>100</v>
      </c>
    </row>
  </sheetData>
  <mergeCells count="35">
    <mergeCell ref="A12:F12"/>
    <mergeCell ref="A14:F14"/>
    <mergeCell ref="D20:E21"/>
    <mergeCell ref="D18:F18"/>
    <mergeCell ref="D19:F19"/>
    <mergeCell ref="A15:F15"/>
    <mergeCell ref="A16:F16"/>
    <mergeCell ref="C22:C25"/>
    <mergeCell ref="D23:F23"/>
    <mergeCell ref="D24:F24"/>
    <mergeCell ref="D22:F22"/>
    <mergeCell ref="D30:D32"/>
    <mergeCell ref="E30:F30"/>
    <mergeCell ref="D25:F25"/>
    <mergeCell ref="D35:F35"/>
    <mergeCell ref="E28:E29"/>
    <mergeCell ref="A17:A36"/>
    <mergeCell ref="E31:F31"/>
    <mergeCell ref="E32:F32"/>
    <mergeCell ref="C33:C35"/>
    <mergeCell ref="D33:F33"/>
    <mergeCell ref="B26:B36"/>
    <mergeCell ref="C26:C32"/>
    <mergeCell ref="E26:F26"/>
    <mergeCell ref="B17:B25"/>
    <mergeCell ref="C17:C21"/>
    <mergeCell ref="E27:F27"/>
    <mergeCell ref="D34:F34"/>
    <mergeCell ref="D26:D29"/>
    <mergeCell ref="D17:F17"/>
    <mergeCell ref="R71:R72"/>
    <mergeCell ref="S71:S72"/>
    <mergeCell ref="T71:T72"/>
    <mergeCell ref="U71:U72"/>
    <mergeCell ref="C36:F3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BK68"/>
  <sheetViews>
    <sheetView topLeftCell="E1" zoomScale="85" zoomScaleNormal="85" workbookViewId="0">
      <selection activeCell="O50" sqref="O50"/>
    </sheetView>
  </sheetViews>
  <sheetFormatPr defaultColWidth="9.109375" defaultRowHeight="14.4" outlineLevelRow="1" outlineLevelCol="1"/>
  <cols>
    <col min="1" max="4" width="16.44140625" style="916" customWidth="1"/>
    <col min="5" max="5" width="17.5546875" style="916" customWidth="1"/>
    <col min="6" max="6" width="22.109375" style="916" customWidth="1"/>
    <col min="7" max="7" width="9.6640625" style="916" customWidth="1"/>
    <col min="8" max="8" width="8.33203125" style="916" customWidth="1" outlineLevel="1"/>
    <col min="9" max="9" width="11.33203125" style="916" customWidth="1"/>
    <col min="10" max="10" width="9.33203125" style="916" customWidth="1" outlineLevel="1"/>
    <col min="11" max="11" width="8.109375" style="916" customWidth="1"/>
    <col min="12" max="12" width="8" style="916" customWidth="1" outlineLevel="1"/>
    <col min="13" max="13" width="10.33203125" style="916" customWidth="1"/>
    <col min="14" max="14" width="10.109375" style="916" customWidth="1" outlineLevel="1"/>
    <col min="15" max="15" width="10.109375" style="916" customWidth="1"/>
    <col min="16" max="16" width="7.6640625" style="916" customWidth="1" outlineLevel="1"/>
    <col min="17" max="17" width="9.44140625" style="916" customWidth="1"/>
    <col min="18" max="18" width="7.6640625" style="916" customWidth="1" outlineLevel="1"/>
    <col min="19" max="19" width="8.6640625" style="916" customWidth="1"/>
    <col min="20" max="20" width="7.6640625" style="916" customWidth="1" outlineLevel="1"/>
    <col min="21" max="21" width="4.109375" style="916" bestFit="1" customWidth="1"/>
    <col min="22" max="22" width="10.33203125" style="916" customWidth="1" outlineLevel="1"/>
    <col min="23" max="23" width="3.5546875" style="916" bestFit="1" customWidth="1"/>
    <col min="24" max="24" width="4.109375" style="916" bestFit="1" customWidth="1"/>
    <col min="25" max="25" width="8.33203125" style="916" customWidth="1" outlineLevel="1"/>
    <col min="26" max="26" width="12.33203125" style="916" bestFit="1" customWidth="1"/>
    <col min="27" max="27" width="9.6640625" style="916" bestFit="1" customWidth="1" outlineLevel="1"/>
    <col min="28" max="28" width="12.33203125" style="916" bestFit="1" customWidth="1"/>
    <col min="29" max="29" width="9.6640625" style="916" bestFit="1" customWidth="1" outlineLevel="1"/>
    <col min="30" max="30" width="12.33203125" style="916" bestFit="1" customWidth="1"/>
    <col min="31" max="31" width="6.44140625" style="916" bestFit="1" customWidth="1" outlineLevel="1"/>
    <col min="32" max="35" width="8.6640625" style="916" customWidth="1"/>
    <col min="36" max="42" width="9.109375" style="916"/>
    <col min="43" max="43" width="10.33203125" style="916" bestFit="1" customWidth="1"/>
    <col min="44" max="16384" width="9.109375" style="916"/>
  </cols>
  <sheetData>
    <row r="4" spans="1:63" ht="15.75" customHeight="1">
      <c r="E4" s="486" t="s">
        <v>297</v>
      </c>
      <c r="F4" s="486"/>
      <c r="G4" s="486" t="s">
        <v>294</v>
      </c>
      <c r="H4" s="488" t="s">
        <v>293</v>
      </c>
    </row>
    <row r="5" spans="1:63" ht="15" thickBot="1">
      <c r="A5" s="916" t="s">
        <v>63</v>
      </c>
      <c r="E5" s="1802" t="s">
        <v>198</v>
      </c>
      <c r="F5" s="1803"/>
      <c r="G5" s="487">
        <f>'Gross UECs'!D4</f>
        <v>958.28708348749888</v>
      </c>
      <c r="H5" s="489">
        <f>'Gross UECs'!I4</f>
        <v>69.951619189853531</v>
      </c>
    </row>
    <row r="6" spans="1:63" ht="18" customHeight="1" thickBot="1">
      <c r="A6" s="43"/>
      <c r="B6" s="916" t="s">
        <v>66</v>
      </c>
      <c r="E6" s="485" t="s">
        <v>211</v>
      </c>
      <c r="F6" s="485"/>
      <c r="G6" s="487">
        <f>'Gross UECs'!D15</f>
        <v>737</v>
      </c>
      <c r="H6" s="489">
        <f>'Gross UECs'!I26</f>
        <v>105</v>
      </c>
    </row>
    <row r="7" spans="1:63" ht="15" customHeight="1" thickBot="1">
      <c r="A7" s="44"/>
      <c r="B7" s="916" t="s">
        <v>69</v>
      </c>
      <c r="E7" s="485" t="s">
        <v>212</v>
      </c>
      <c r="F7" s="485"/>
      <c r="G7" s="487">
        <f>'Gross UECs'!D26</f>
        <v>635</v>
      </c>
      <c r="H7" s="489">
        <f>'Gross UECs'!I15</f>
        <v>84</v>
      </c>
    </row>
    <row r="8" spans="1:63" ht="15" thickBot="1">
      <c r="A8" s="45"/>
      <c r="B8" s="916" t="s">
        <v>70</v>
      </c>
      <c r="E8" s="485" t="s">
        <v>296</v>
      </c>
      <c r="F8" s="485"/>
      <c r="G8" s="655">
        <f>452</f>
        <v>452</v>
      </c>
      <c r="H8" s="489">
        <v>0</v>
      </c>
      <c r="I8" s="916" t="s">
        <v>411</v>
      </c>
    </row>
    <row r="9" spans="1:63" ht="15" thickBot="1">
      <c r="A9" s="46"/>
      <c r="B9" s="47" t="s">
        <v>71</v>
      </c>
      <c r="E9" s="138"/>
      <c r="F9" s="138"/>
      <c r="G9" s="526"/>
      <c r="AN9" s="916" t="s">
        <v>534</v>
      </c>
      <c r="AO9" s="331"/>
      <c r="BB9" s="916" t="s">
        <v>544</v>
      </c>
    </row>
    <row r="10" spans="1:63">
      <c r="AJ10" s="916" t="s">
        <v>517</v>
      </c>
      <c r="AO10" s="331"/>
      <c r="AZ10" s="916" t="s">
        <v>518</v>
      </c>
    </row>
    <row r="11" spans="1:63" ht="15" thickBot="1">
      <c r="AO11" s="331"/>
    </row>
    <row r="12" spans="1:63" s="331" customFormat="1" ht="139.94999999999999" customHeight="1" thickBot="1">
      <c r="A12" s="1756" t="s">
        <v>331</v>
      </c>
      <c r="B12" s="1756"/>
      <c r="C12" s="1756"/>
      <c r="D12" s="1756"/>
      <c r="E12" s="1756"/>
      <c r="F12" s="1757"/>
      <c r="G12" s="114" t="s">
        <v>113</v>
      </c>
      <c r="H12" s="223" t="str">
        <f>"SE of "&amp;G12</f>
        <v>SE of Proportion of program units in this path</v>
      </c>
      <c r="I12" s="114" t="s">
        <v>115</v>
      </c>
      <c r="J12" s="294" t="str">
        <f>"SE of "&amp;I12</f>
        <v>SE of Gross Full Year Consumption</v>
      </c>
      <c r="K12" s="114" t="s">
        <v>102</v>
      </c>
      <c r="L12" s="294" t="str">
        <f>"SE of "&amp;K12</f>
        <v>SE of  Baseline Usage factor</v>
      </c>
      <c r="M12" s="114" t="s">
        <v>125</v>
      </c>
      <c r="N12" s="294" t="str">
        <f>"SE of "&amp;M12</f>
        <v>SE of Gross Baseline UEC (Part use adjusted)</v>
      </c>
      <c r="O12" s="114" t="s">
        <v>99</v>
      </c>
      <c r="P12" s="294" t="str">
        <f>"SE of "&amp;O12</f>
        <v>SE of Program Alternative Full Year Consumption</v>
      </c>
      <c r="Q12" s="114" t="s">
        <v>129</v>
      </c>
      <c r="R12" s="856" t="str">
        <f>"SE of "&amp;Q12</f>
        <v>SE of Usage Factor on the grid with the Program</v>
      </c>
      <c r="S12" s="114" t="s">
        <v>126</v>
      </c>
      <c r="T12" s="294" t="str">
        <f>"SE of "&amp;S12</f>
        <v>SE of Gross UEC with Program (part use adjusted)</v>
      </c>
      <c r="U12" s="401" t="s">
        <v>112</v>
      </c>
      <c r="V12" s="294" t="str">
        <f>"SE of "&amp;U12</f>
        <v>SE of Gross Unit Energy Savings</v>
      </c>
      <c r="W12" s="114" t="s">
        <v>124</v>
      </c>
      <c r="X12" s="401" t="s">
        <v>128</v>
      </c>
      <c r="Y12" s="294" t="str">
        <f>"SE of "&amp;X12</f>
        <v>SE of Net Savings</v>
      </c>
      <c r="Z12" s="401" t="s">
        <v>243</v>
      </c>
      <c r="AA12" s="294" t="str">
        <f>"SE of "&amp;Z12</f>
        <v>SE of Aggregate Gross Unit Savings</v>
      </c>
      <c r="AB12" s="401" t="s">
        <v>242</v>
      </c>
      <c r="AC12" s="294" t="str">
        <f>"SE of "&amp;AB12</f>
        <v>SE of Aggregate Net Unit Savings</v>
      </c>
      <c r="AD12" s="114" t="s">
        <v>120</v>
      </c>
      <c r="AE12" s="223" t="str">
        <f>"SE of "&amp;AD12</f>
        <v>SE of NTG Ratio</v>
      </c>
      <c r="AJ12" s="1804" t="s">
        <v>519</v>
      </c>
      <c r="AK12" s="1804"/>
      <c r="AL12" s="1804"/>
      <c r="AM12" s="1804"/>
      <c r="AN12" s="1804"/>
      <c r="AO12" s="1805"/>
      <c r="AP12" s="770" t="s">
        <v>528</v>
      </c>
      <c r="AQ12" s="771" t="s">
        <v>513</v>
      </c>
      <c r="AR12" s="771" t="s">
        <v>514</v>
      </c>
      <c r="AS12" s="769" t="s">
        <v>529</v>
      </c>
      <c r="AT12" s="771" t="s">
        <v>515</v>
      </c>
      <c r="AU12" s="769" t="s">
        <v>530</v>
      </c>
      <c r="AV12" s="771" t="s">
        <v>516</v>
      </c>
      <c r="AW12" s="769" t="s">
        <v>531</v>
      </c>
      <c r="AZ12" s="1804" t="s">
        <v>519</v>
      </c>
      <c r="BA12" s="1804"/>
      <c r="BB12" s="1804"/>
      <c r="BC12" s="1804"/>
      <c r="BD12" s="1804"/>
      <c r="BE12" s="1805"/>
      <c r="BF12" s="779" t="s">
        <v>113</v>
      </c>
      <c r="BG12" s="780" t="s">
        <v>112</v>
      </c>
      <c r="BH12" s="780" t="s">
        <v>124</v>
      </c>
      <c r="BI12" s="780" t="s">
        <v>128</v>
      </c>
      <c r="BJ12" s="780" t="s">
        <v>536</v>
      </c>
      <c r="BK12" s="780" t="s">
        <v>537</v>
      </c>
    </row>
    <row r="13" spans="1:63" ht="30.75" customHeight="1" outlineLevel="1" thickBot="1">
      <c r="G13" s="135"/>
      <c r="H13" s="136"/>
      <c r="I13" s="136"/>
      <c r="J13" s="136"/>
      <c r="K13" s="136"/>
      <c r="L13" s="136"/>
      <c r="M13" s="136"/>
      <c r="N13" s="137"/>
      <c r="O13" s="137"/>
      <c r="P13" s="137"/>
      <c r="Q13" s="137"/>
      <c r="R13" s="857"/>
      <c r="S13" s="137"/>
      <c r="T13" s="139"/>
      <c r="U13" s="139"/>
      <c r="V13" s="137"/>
      <c r="W13" s="137"/>
      <c r="X13" s="335"/>
      <c r="Y13" s="334"/>
      <c r="Z13" s="334"/>
      <c r="AA13" s="334"/>
      <c r="AB13" s="334"/>
      <c r="AC13" s="334"/>
      <c r="AD13" s="334"/>
      <c r="AE13" s="334"/>
      <c r="AJ13" s="1560"/>
      <c r="AK13" s="1560"/>
      <c r="AL13" s="1560"/>
      <c r="AM13" s="1560"/>
      <c r="AN13" s="1560"/>
      <c r="AO13" s="1637"/>
      <c r="AP13" s="777" t="s">
        <v>520</v>
      </c>
      <c r="AQ13" s="778" t="s">
        <v>521</v>
      </c>
      <c r="AR13" s="778" t="s">
        <v>522</v>
      </c>
      <c r="AS13" s="778" t="s">
        <v>523</v>
      </c>
      <c r="AT13" s="778" t="s">
        <v>524</v>
      </c>
      <c r="AU13" s="778" t="s">
        <v>525</v>
      </c>
      <c r="AV13" s="778" t="s">
        <v>526</v>
      </c>
      <c r="AW13" s="778" t="s">
        <v>527</v>
      </c>
      <c r="AX13" s="331"/>
      <c r="AZ13" s="1560"/>
      <c r="BA13" s="1560"/>
      <c r="BB13" s="1560"/>
      <c r="BC13" s="1560"/>
      <c r="BD13" s="1560"/>
      <c r="BE13" s="1637"/>
      <c r="BF13" s="772" t="s">
        <v>520</v>
      </c>
      <c r="BG13" s="773" t="s">
        <v>521</v>
      </c>
      <c r="BH13" s="773" t="s">
        <v>522</v>
      </c>
      <c r="BI13" s="773" t="s">
        <v>540</v>
      </c>
      <c r="BJ13" s="773" t="s">
        <v>538</v>
      </c>
      <c r="BK13" s="773" t="s">
        <v>539</v>
      </c>
    </row>
    <row r="14" spans="1:63" ht="15" thickBot="1">
      <c r="A14" s="1753" t="s">
        <v>267</v>
      </c>
      <c r="B14" s="1753"/>
      <c r="C14" s="1753"/>
      <c r="D14" s="1753"/>
      <c r="E14" s="1753"/>
      <c r="F14" s="1753"/>
      <c r="G14" s="721">
        <f>'Statewide Ref Dispostion'!AN8</f>
        <v>0.136803497976</v>
      </c>
      <c r="H14" s="1288">
        <f>'Statewide Ref Dispostion'!AP8</f>
        <v>2.7723</v>
      </c>
      <c r="I14" s="128">
        <f t="shared" ref="I14:I36" si="0">$G$5</f>
        <v>958.28708348749888</v>
      </c>
      <c r="J14" s="868">
        <f t="shared" ref="J14:J36" si="1">$H$5</f>
        <v>69.951619189853531</v>
      </c>
      <c r="K14" s="120">
        <f>'Part KIU-KU'!O$25</f>
        <v>0.96779020000000004</v>
      </c>
      <c r="L14" s="858">
        <f>'Part KIU-KU'!Q$25</f>
        <v>1.12687E-2</v>
      </c>
      <c r="M14" s="124">
        <f t="shared" ref="M14:M35" si="2">I14*K14</f>
        <v>927.42084818578326</v>
      </c>
      <c r="N14" s="862">
        <f>M14*SQRT(IF(I14&gt;0,(J14/I14)^2,0)+IF(K14&gt;0,(L14/K14/100)^2,0))</f>
        <v>67.698577651152391</v>
      </c>
      <c r="O14" s="124">
        <f>$G$5</f>
        <v>958.28708348749888</v>
      </c>
      <c r="P14" s="862">
        <f>$H$5</f>
        <v>69.951619189853531</v>
      </c>
      <c r="Q14" s="120">
        <v>0</v>
      </c>
      <c r="R14" s="858">
        <v>0</v>
      </c>
      <c r="S14" s="124">
        <f>O14*Q14</f>
        <v>0</v>
      </c>
      <c r="T14" s="339">
        <f>S14*SQRT(IF(O14&gt;0,(P14/O14)^2,0)+IF(Q14&gt;0,(R14/Q14/100)^2,0))</f>
        <v>0</v>
      </c>
      <c r="U14" s="847">
        <f>M14-S14</f>
        <v>927.42084818578326</v>
      </c>
      <c r="V14" s="886">
        <f>SQRT(T14^2+N14^2)</f>
        <v>67.698577651152391</v>
      </c>
      <c r="W14" s="141">
        <v>1</v>
      </c>
      <c r="X14" s="140">
        <f>U14*W14</f>
        <v>927.42084818578326</v>
      </c>
      <c r="Y14" s="886">
        <f>V14</f>
        <v>67.698577651152391</v>
      </c>
      <c r="Z14" s="847">
        <f>U14*G14</f>
        <v>126.874416127684</v>
      </c>
      <c r="AA14" s="886">
        <f>Z14*SQRT(IF(G14&gt;0,(H14/G14/100)^2,0)+IF(U14&gt;0,(V14/U14),0))</f>
        <v>42.849559755613093</v>
      </c>
      <c r="AB14" s="847">
        <f t="shared" ref="AB14:AB36" si="3">X14*G14</f>
        <v>126.874416127684</v>
      </c>
      <c r="AC14" s="886">
        <f>AB14*SQRT(IF(X14&gt;0,(Y14/X14)^2,0)+IF(G14&gt;0,(H14/G14/100)^2,0))</f>
        <v>27.328068757001777</v>
      </c>
      <c r="AD14" s="852">
        <f>IF(Z14&gt;0,AB14/Z14,0)</f>
        <v>1</v>
      </c>
      <c r="AE14" s="892">
        <f>AD14*SQRT(IF(Z14&gt;0,(AA14/Z14)^2,0)+IF(AB14&gt;0,(AC14/AB14)^2,0))</f>
        <v>0.4005718457461756</v>
      </c>
      <c r="AJ14" s="1575" t="s">
        <v>267</v>
      </c>
      <c r="AK14" s="1575"/>
      <c r="AL14" s="1575"/>
      <c r="AM14" s="1575"/>
      <c r="AN14" s="1575"/>
      <c r="AO14" s="1575"/>
      <c r="AP14" s="765">
        <f>G14</f>
        <v>0.136803497976</v>
      </c>
      <c r="AQ14" s="766">
        <f>I14</f>
        <v>958.28708348749888</v>
      </c>
      <c r="AR14" s="767">
        <f>K14</f>
        <v>0.96779020000000004</v>
      </c>
      <c r="AS14" s="766">
        <f>M14</f>
        <v>927.42084818578326</v>
      </c>
      <c r="AT14" s="766">
        <f>O14</f>
        <v>958.28708348749888</v>
      </c>
      <c r="AU14" s="766">
        <f>Q14</f>
        <v>0</v>
      </c>
      <c r="AV14" s="766">
        <f>S14</f>
        <v>0</v>
      </c>
      <c r="AW14" s="766">
        <f>U14</f>
        <v>927.42084818578326</v>
      </c>
      <c r="AZ14" s="1575" t="s">
        <v>267</v>
      </c>
      <c r="BA14" s="1575"/>
      <c r="BB14" s="1575"/>
      <c r="BC14" s="1575"/>
      <c r="BD14" s="1575"/>
      <c r="BE14" s="1575"/>
      <c r="BF14" s="765">
        <f>G14</f>
        <v>0.136803497976</v>
      </c>
      <c r="BG14" s="781">
        <f>U14</f>
        <v>927.42084818578326</v>
      </c>
      <c r="BH14" s="782">
        <f>W14</f>
        <v>1</v>
      </c>
      <c r="BI14" s="783">
        <f>X14</f>
        <v>927.42084818578326</v>
      </c>
      <c r="BJ14" s="782">
        <f>Z14</f>
        <v>126.874416127684</v>
      </c>
      <c r="BK14" s="782">
        <f>AB14</f>
        <v>126.874416127684</v>
      </c>
    </row>
    <row r="15" spans="1:63" ht="15" thickBot="1">
      <c r="A15" s="1753" t="s">
        <v>268</v>
      </c>
      <c r="B15" s="1753"/>
      <c r="C15" s="1753"/>
      <c r="D15" s="1753"/>
      <c r="E15" s="1753"/>
      <c r="F15" s="1753"/>
      <c r="G15" s="721">
        <f>'Statewide Ref Dispostion'!AN9</f>
        <v>2.3024502023999999E-2</v>
      </c>
      <c r="H15" s="1288">
        <f>'Statewide Ref Dispostion'!AP9</f>
        <v>2.7723</v>
      </c>
      <c r="I15" s="129">
        <f t="shared" si="0"/>
        <v>958.28708348749888</v>
      </c>
      <c r="J15" s="869">
        <f t="shared" si="1"/>
        <v>69.951619189853531</v>
      </c>
      <c r="K15" s="119">
        <v>0</v>
      </c>
      <c r="L15" s="859">
        <v>0</v>
      </c>
      <c r="M15" s="125">
        <f t="shared" si="2"/>
        <v>0</v>
      </c>
      <c r="N15" s="863">
        <f t="shared" ref="N15:N36" si="4">M15*SQRT(IF(I15&gt;0,(J15/I15)^2,0)+IF(K15&gt;0,(L15/K15/100)^2,0))</f>
        <v>0</v>
      </c>
      <c r="O15" s="125">
        <f>$G$5</f>
        <v>958.28708348749888</v>
      </c>
      <c r="P15" s="863">
        <f>$H$5</f>
        <v>69.951619189853531</v>
      </c>
      <c r="Q15" s="522">
        <v>0</v>
      </c>
      <c r="R15" s="859">
        <v>0</v>
      </c>
      <c r="S15" s="117">
        <f t="shared" ref="S15:S35" si="5">Q15*O15</f>
        <v>0</v>
      </c>
      <c r="T15" s="348">
        <f t="shared" ref="T15:T36" si="6">S15*SQRT(IF(O15&gt;0,(P15/O15)^2,0)+IF(Q15&gt;0,(R15/Q15/100)^2,0))</f>
        <v>0</v>
      </c>
      <c r="U15" s="848">
        <f t="shared" ref="U15:U36" si="7">M15-S15</f>
        <v>0</v>
      </c>
      <c r="V15" s="887">
        <f t="shared" ref="V15:V36" si="8">SQRT(T15^2+N15^2)</f>
        <v>0</v>
      </c>
      <c r="W15" s="143">
        <v>1</v>
      </c>
      <c r="X15" s="142">
        <f t="shared" ref="X15:X36" si="9">U15*W15</f>
        <v>0</v>
      </c>
      <c r="Y15" s="887">
        <f t="shared" ref="Y15:Y35" si="10">V15</f>
        <v>0</v>
      </c>
      <c r="Z15" s="848">
        <f t="shared" ref="Z15:Z36" si="11">U15*G15</f>
        <v>0</v>
      </c>
      <c r="AA15" s="887">
        <f t="shared" ref="AA15:AA36" si="12">Z15*SQRT(IF(G15&gt;0,(H15/G15/100)^2,0)+IF(U15&gt;0,(V15/U15),0))</f>
        <v>0</v>
      </c>
      <c r="AB15" s="848">
        <f t="shared" si="3"/>
        <v>0</v>
      </c>
      <c r="AC15" s="887">
        <f t="shared" ref="AC15:AC36" si="13">AB15*SQRT(IF(X15&gt;0,(Y15/X15)^2,0)+IF(G15&gt;0,(H15/G15/100)^2,0))</f>
        <v>0</v>
      </c>
      <c r="AD15" s="853" t="s">
        <v>130</v>
      </c>
      <c r="AE15" s="887" t="s">
        <v>130</v>
      </c>
      <c r="AJ15" s="1575" t="s">
        <v>268</v>
      </c>
      <c r="AK15" s="1575"/>
      <c r="AL15" s="1575"/>
      <c r="AM15" s="1575"/>
      <c r="AN15" s="1575"/>
      <c r="AO15" s="1575"/>
      <c r="AP15" s="765">
        <f t="shared" ref="AP15:AP36" si="14">G15</f>
        <v>2.3024502023999999E-2</v>
      </c>
      <c r="AQ15" s="766">
        <f t="shared" ref="AQ15:AQ36" si="15">I15</f>
        <v>958.28708348749888</v>
      </c>
      <c r="AR15" s="767">
        <f t="shared" ref="AR15:AR36" si="16">K15</f>
        <v>0</v>
      </c>
      <c r="AS15" s="766">
        <f t="shared" ref="AS15:AS36" si="17">M15</f>
        <v>0</v>
      </c>
      <c r="AT15" s="766">
        <f t="shared" ref="AT15:AT36" si="18">O15</f>
        <v>958.28708348749888</v>
      </c>
      <c r="AU15" s="766">
        <f t="shared" ref="AU15:AU36" si="19">Q15</f>
        <v>0</v>
      </c>
      <c r="AV15" s="766">
        <f t="shared" ref="AV15:AV36" si="20">S15</f>
        <v>0</v>
      </c>
      <c r="AW15" s="766">
        <f t="shared" ref="AW15:AW36" si="21">U15</f>
        <v>0</v>
      </c>
      <c r="AZ15" s="1575" t="s">
        <v>268</v>
      </c>
      <c r="BA15" s="1575"/>
      <c r="BB15" s="1575"/>
      <c r="BC15" s="1575"/>
      <c r="BD15" s="1575"/>
      <c r="BE15" s="1575"/>
      <c r="BF15" s="765">
        <f t="shared" ref="BF15:BF36" si="22">G15</f>
        <v>2.3024502023999999E-2</v>
      </c>
      <c r="BG15" s="781">
        <f t="shared" ref="BG15:BG36" si="23">U15</f>
        <v>0</v>
      </c>
      <c r="BH15" s="782">
        <f t="shared" ref="BH15:BI36" si="24">W15</f>
        <v>1</v>
      </c>
      <c r="BI15" s="783">
        <f t="shared" si="24"/>
        <v>0</v>
      </c>
      <c r="BJ15" s="782">
        <f t="shared" ref="BJ15:BJ36" si="25">Z15</f>
        <v>0</v>
      </c>
      <c r="BK15" s="782">
        <f t="shared" ref="BK15:BK36" si="26">AB15</f>
        <v>0</v>
      </c>
    </row>
    <row r="16" spans="1:63" ht="15" thickBot="1">
      <c r="A16" s="1791" t="s">
        <v>133</v>
      </c>
      <c r="B16" s="1791"/>
      <c r="C16" s="1791"/>
      <c r="D16" s="1791"/>
      <c r="E16" s="1791"/>
      <c r="F16" s="1791"/>
      <c r="G16" s="722">
        <f>'Statewide Ref Dispostion'!AN10</f>
        <v>0.18151916060000001</v>
      </c>
      <c r="H16" s="1289">
        <f>'Statewide Ref Dispostion'!AP10</f>
        <v>2.144933359575032</v>
      </c>
      <c r="I16" s="130">
        <f t="shared" si="0"/>
        <v>958.28708348749888</v>
      </c>
      <c r="J16" s="870">
        <f t="shared" si="1"/>
        <v>69.951619189853531</v>
      </c>
      <c r="K16" s="122">
        <v>0.97</v>
      </c>
      <c r="L16" s="860">
        <v>0</v>
      </c>
      <c r="M16" s="125">
        <v>954</v>
      </c>
      <c r="N16" s="864">
        <f t="shared" si="4"/>
        <v>69.63867702803158</v>
      </c>
      <c r="O16" s="126">
        <v>391</v>
      </c>
      <c r="P16" s="864"/>
      <c r="Q16" s="121">
        <v>1</v>
      </c>
      <c r="R16" s="860">
        <v>0</v>
      </c>
      <c r="S16" s="126">
        <v>390</v>
      </c>
      <c r="T16" s="349">
        <f t="shared" si="6"/>
        <v>0</v>
      </c>
      <c r="U16" s="849">
        <f t="shared" si="7"/>
        <v>564</v>
      </c>
      <c r="V16" s="888">
        <f t="shared" si="8"/>
        <v>69.63867702803158</v>
      </c>
      <c r="W16" s="145">
        <v>0</v>
      </c>
      <c r="X16" s="146">
        <f t="shared" si="9"/>
        <v>0</v>
      </c>
      <c r="Y16" s="888">
        <v>0</v>
      </c>
      <c r="Z16" s="849">
        <f t="shared" si="11"/>
        <v>102.37680657840001</v>
      </c>
      <c r="AA16" s="888">
        <f t="shared" si="12"/>
        <v>37.953494156613509</v>
      </c>
      <c r="AB16" s="851">
        <f t="shared" si="3"/>
        <v>0</v>
      </c>
      <c r="AC16" s="888">
        <f t="shared" si="13"/>
        <v>0</v>
      </c>
      <c r="AD16" s="854">
        <f>IF(Z16&gt;0,AB16/Z16,0)</f>
        <v>0</v>
      </c>
      <c r="AE16" s="893">
        <f>AD16*SQRT(IF(Z16&gt;0,(AA16/Z16)^2,0)+IF(AB16&gt;0,(AC16/AB16)^2,0))</f>
        <v>0</v>
      </c>
      <c r="AJ16" s="1575" t="s">
        <v>133</v>
      </c>
      <c r="AK16" s="1575"/>
      <c r="AL16" s="1575"/>
      <c r="AM16" s="1575"/>
      <c r="AN16" s="1575"/>
      <c r="AO16" s="1575"/>
      <c r="AP16" s="765">
        <f t="shared" si="14"/>
        <v>0.18151916060000001</v>
      </c>
      <c r="AQ16" s="766">
        <f t="shared" si="15"/>
        <v>958.28708348749888</v>
      </c>
      <c r="AR16" s="767">
        <f t="shared" si="16"/>
        <v>0.97</v>
      </c>
      <c r="AS16" s="766">
        <f t="shared" si="17"/>
        <v>954</v>
      </c>
      <c r="AT16" s="766">
        <f t="shared" si="18"/>
        <v>391</v>
      </c>
      <c r="AU16" s="766">
        <f t="shared" si="19"/>
        <v>1</v>
      </c>
      <c r="AV16" s="766">
        <f t="shared" si="20"/>
        <v>390</v>
      </c>
      <c r="AW16" s="766">
        <f t="shared" si="21"/>
        <v>564</v>
      </c>
      <c r="AZ16" s="1575" t="s">
        <v>133</v>
      </c>
      <c r="BA16" s="1575"/>
      <c r="BB16" s="1575"/>
      <c r="BC16" s="1575"/>
      <c r="BD16" s="1575"/>
      <c r="BE16" s="1575"/>
      <c r="BF16" s="765">
        <f t="shared" si="22"/>
        <v>0.18151916060000001</v>
      </c>
      <c r="BG16" s="781">
        <f t="shared" si="23"/>
        <v>564</v>
      </c>
      <c r="BH16" s="782">
        <f t="shared" si="24"/>
        <v>0</v>
      </c>
      <c r="BI16" s="783">
        <f t="shared" si="24"/>
        <v>0</v>
      </c>
      <c r="BJ16" s="782">
        <f t="shared" si="25"/>
        <v>102.37680657840001</v>
      </c>
      <c r="BK16" s="782">
        <f t="shared" si="26"/>
        <v>0</v>
      </c>
    </row>
    <row r="17" spans="1:63" ht="15" thickBot="1">
      <c r="A17" s="1782" t="s">
        <v>340</v>
      </c>
      <c r="B17" s="1782" t="s">
        <v>341</v>
      </c>
      <c r="C17" s="1782" t="s">
        <v>342</v>
      </c>
      <c r="D17" s="1785" t="s">
        <v>344</v>
      </c>
      <c r="E17" s="1785"/>
      <c r="F17" s="1785"/>
      <c r="G17" s="723">
        <f>'Statewide Ref Dispostion'!AN11</f>
        <v>1.1642391561073492E-2</v>
      </c>
      <c r="H17" s="1290">
        <f>'Statewide Ref Dispostion'!AP11</f>
        <v>0.71163415254117457</v>
      </c>
      <c r="I17" s="128">
        <f t="shared" si="0"/>
        <v>958.28708348749888</v>
      </c>
      <c r="J17" s="868">
        <f t="shared" si="1"/>
        <v>69.951619189853531</v>
      </c>
      <c r="K17" s="120">
        <v>1</v>
      </c>
      <c r="L17" s="858">
        <v>0</v>
      </c>
      <c r="M17" s="124">
        <f t="shared" si="2"/>
        <v>958.28708348749888</v>
      </c>
      <c r="N17" s="862">
        <f t="shared" si="4"/>
        <v>69.951619189853531</v>
      </c>
      <c r="O17" s="131">
        <f>$G$6</f>
        <v>737</v>
      </c>
      <c r="P17" s="865">
        <f>$H$6</f>
        <v>105</v>
      </c>
      <c r="Q17" s="521">
        <v>1</v>
      </c>
      <c r="R17" s="858">
        <v>0</v>
      </c>
      <c r="S17" s="124">
        <f t="shared" si="5"/>
        <v>737</v>
      </c>
      <c r="T17" s="339">
        <f t="shared" si="6"/>
        <v>104.99999999999999</v>
      </c>
      <c r="U17" s="847">
        <f t="shared" si="7"/>
        <v>221.28708348749888</v>
      </c>
      <c r="V17" s="886">
        <f t="shared" si="8"/>
        <v>126.16746421832485</v>
      </c>
      <c r="W17" s="141">
        <v>1</v>
      </c>
      <c r="X17" s="140">
        <f t="shared" si="9"/>
        <v>221.28708348749888</v>
      </c>
      <c r="Y17" s="886">
        <f t="shared" si="10"/>
        <v>126.16746421832485</v>
      </c>
      <c r="Z17" s="847">
        <f t="shared" si="11"/>
        <v>2.576310873369422</v>
      </c>
      <c r="AA17" s="886">
        <f t="shared" si="12"/>
        <v>2.5028326994974717</v>
      </c>
      <c r="AB17" s="847">
        <f t="shared" si="3"/>
        <v>2.576310873369422</v>
      </c>
      <c r="AC17" s="886">
        <f t="shared" si="13"/>
        <v>2.1534837923564352</v>
      </c>
      <c r="AD17" s="852">
        <f>IF(Z17&gt;0,AB17/Z17,0)</f>
        <v>1</v>
      </c>
      <c r="AE17" s="892">
        <f t="shared" ref="AE17:AE36" si="27">AD17*SQRT(IF(Z17&gt;0,(AA17/Z17)^2,0)+IF(AB17&gt;0,(AC17/AB17)^2,0))</f>
        <v>1.2815871052996124</v>
      </c>
      <c r="AJ17" s="1583" t="s">
        <v>340</v>
      </c>
      <c r="AK17" s="1592" t="s">
        <v>341</v>
      </c>
      <c r="AL17" s="1592" t="s">
        <v>342</v>
      </c>
      <c r="AM17" s="1575" t="s">
        <v>344</v>
      </c>
      <c r="AN17" s="1575"/>
      <c r="AO17" s="1575"/>
      <c r="AP17" s="765">
        <f t="shared" si="14"/>
        <v>1.1642391561073492E-2</v>
      </c>
      <c r="AQ17" s="766">
        <f t="shared" si="15"/>
        <v>958.28708348749888</v>
      </c>
      <c r="AR17" s="767">
        <f t="shared" si="16"/>
        <v>1</v>
      </c>
      <c r="AS17" s="766">
        <f t="shared" si="17"/>
        <v>958.28708348749888</v>
      </c>
      <c r="AT17" s="766">
        <f t="shared" si="18"/>
        <v>737</v>
      </c>
      <c r="AU17" s="766">
        <f t="shared" si="19"/>
        <v>1</v>
      </c>
      <c r="AV17" s="766">
        <f t="shared" si="20"/>
        <v>737</v>
      </c>
      <c r="AW17" s="766">
        <f t="shared" si="21"/>
        <v>221.28708348749888</v>
      </c>
      <c r="AZ17" s="1583" t="s">
        <v>340</v>
      </c>
      <c r="BA17" s="1592" t="s">
        <v>341</v>
      </c>
      <c r="BB17" s="1592" t="s">
        <v>342</v>
      </c>
      <c r="BC17" s="1575" t="s">
        <v>344</v>
      </c>
      <c r="BD17" s="1575"/>
      <c r="BE17" s="1575"/>
      <c r="BF17" s="765">
        <f t="shared" si="22"/>
        <v>1.1642391561073492E-2</v>
      </c>
      <c r="BG17" s="781">
        <f t="shared" si="23"/>
        <v>221.28708348749888</v>
      </c>
      <c r="BH17" s="782">
        <f t="shared" si="24"/>
        <v>1</v>
      </c>
      <c r="BI17" s="783">
        <f t="shared" si="24"/>
        <v>221.28708348749888</v>
      </c>
      <c r="BJ17" s="782">
        <f t="shared" si="25"/>
        <v>2.576310873369422</v>
      </c>
      <c r="BK17" s="782">
        <f t="shared" si="26"/>
        <v>2.576310873369422</v>
      </c>
    </row>
    <row r="18" spans="1:63" ht="15" thickBot="1">
      <c r="A18" s="1782"/>
      <c r="B18" s="1782"/>
      <c r="C18" s="1782"/>
      <c r="D18" s="1785" t="s">
        <v>345</v>
      </c>
      <c r="E18" s="1785"/>
      <c r="F18" s="1785"/>
      <c r="G18" s="723">
        <f>'Statewide Ref Dispostion'!AN12</f>
        <v>9.9035037548185934E-2</v>
      </c>
      <c r="H18" s="1290">
        <f>'Statewide Ref Dispostion'!AP12</f>
        <v>5.1404435522609502</v>
      </c>
      <c r="I18" s="129">
        <f t="shared" si="0"/>
        <v>958.28708348749888</v>
      </c>
      <c r="J18" s="869">
        <f t="shared" si="1"/>
        <v>69.951619189853531</v>
      </c>
      <c r="K18" s="119">
        <v>1</v>
      </c>
      <c r="L18" s="859">
        <v>0</v>
      </c>
      <c r="M18" s="125">
        <f t="shared" si="2"/>
        <v>958.28708348749888</v>
      </c>
      <c r="N18" s="863">
        <f t="shared" si="4"/>
        <v>69.951619189853531</v>
      </c>
      <c r="O18" s="125">
        <f>$G$7</f>
        <v>635</v>
      </c>
      <c r="P18" s="863">
        <f>$H$7</f>
        <v>84</v>
      </c>
      <c r="Q18" s="522">
        <v>1</v>
      </c>
      <c r="R18" s="859">
        <v>0</v>
      </c>
      <c r="S18" s="125">
        <f t="shared" si="5"/>
        <v>635</v>
      </c>
      <c r="T18" s="340">
        <f t="shared" si="6"/>
        <v>84</v>
      </c>
      <c r="U18" s="850">
        <f t="shared" si="7"/>
        <v>323.28708348749888</v>
      </c>
      <c r="V18" s="889">
        <f t="shared" si="8"/>
        <v>109.31252914136735</v>
      </c>
      <c r="W18" s="148">
        <v>1</v>
      </c>
      <c r="X18" s="147">
        <f t="shared" si="9"/>
        <v>323.28708348749888</v>
      </c>
      <c r="Y18" s="889">
        <f t="shared" si="10"/>
        <v>109.31252914136735</v>
      </c>
      <c r="Z18" s="850">
        <f t="shared" si="11"/>
        <v>32.016748452027969</v>
      </c>
      <c r="AA18" s="889">
        <f t="shared" si="12"/>
        <v>24.955497511810943</v>
      </c>
      <c r="AB18" s="850">
        <f t="shared" si="3"/>
        <v>32.016748452027969</v>
      </c>
      <c r="AC18" s="889">
        <f t="shared" si="13"/>
        <v>19.833511863234321</v>
      </c>
      <c r="AD18" s="853">
        <f t="shared" ref="AD18:AD36" si="28">IF(Z18&gt;0,AB18/Z18,0)</f>
        <v>1</v>
      </c>
      <c r="AE18" s="894">
        <f t="shared" si="27"/>
        <v>0.99563608596285569</v>
      </c>
      <c r="AJ18" s="1583"/>
      <c r="AK18" s="1593"/>
      <c r="AL18" s="1593"/>
      <c r="AM18" s="1575" t="s">
        <v>345</v>
      </c>
      <c r="AN18" s="1575"/>
      <c r="AO18" s="1575"/>
      <c r="AP18" s="765">
        <f t="shared" si="14"/>
        <v>9.9035037548185934E-2</v>
      </c>
      <c r="AQ18" s="766">
        <f t="shared" si="15"/>
        <v>958.28708348749888</v>
      </c>
      <c r="AR18" s="767">
        <f t="shared" si="16"/>
        <v>1</v>
      </c>
      <c r="AS18" s="766">
        <f t="shared" si="17"/>
        <v>958.28708348749888</v>
      </c>
      <c r="AT18" s="766">
        <f t="shared" si="18"/>
        <v>635</v>
      </c>
      <c r="AU18" s="766">
        <f t="shared" si="19"/>
        <v>1</v>
      </c>
      <c r="AV18" s="766">
        <f t="shared" si="20"/>
        <v>635</v>
      </c>
      <c r="AW18" s="766">
        <f t="shared" si="21"/>
        <v>323.28708348749888</v>
      </c>
      <c r="AZ18" s="1583"/>
      <c r="BA18" s="1593"/>
      <c r="BB18" s="1593"/>
      <c r="BC18" s="1575" t="s">
        <v>345</v>
      </c>
      <c r="BD18" s="1575"/>
      <c r="BE18" s="1575"/>
      <c r="BF18" s="765">
        <f t="shared" si="22"/>
        <v>9.9035037548185934E-2</v>
      </c>
      <c r="BG18" s="781">
        <f t="shared" si="23"/>
        <v>323.28708348749888</v>
      </c>
      <c r="BH18" s="782">
        <f t="shared" si="24"/>
        <v>1</v>
      </c>
      <c r="BI18" s="783">
        <f t="shared" si="24"/>
        <v>323.28708348749888</v>
      </c>
      <c r="BJ18" s="782">
        <f t="shared" si="25"/>
        <v>32.016748452027969</v>
      </c>
      <c r="BK18" s="782">
        <f t="shared" si="26"/>
        <v>32.016748452027969</v>
      </c>
    </row>
    <row r="19" spans="1:63" ht="15" thickBot="1">
      <c r="A19" s="1782"/>
      <c r="B19" s="1782"/>
      <c r="C19" s="1782"/>
      <c r="D19" s="1785" t="s">
        <v>346</v>
      </c>
      <c r="E19" s="1785"/>
      <c r="F19" s="1785"/>
      <c r="G19" s="723">
        <f>'Statewide Ref Dispostion'!AN13</f>
        <v>8.4221478298931493E-2</v>
      </c>
      <c r="H19" s="1290">
        <f>'Statewide Ref Dispostion'!AP13</f>
        <v>4.388512052775968</v>
      </c>
      <c r="I19" s="129">
        <f t="shared" si="0"/>
        <v>958.28708348749888</v>
      </c>
      <c r="J19" s="869">
        <f t="shared" si="1"/>
        <v>69.951619189853531</v>
      </c>
      <c r="K19" s="119">
        <v>1</v>
      </c>
      <c r="L19" s="859">
        <v>0</v>
      </c>
      <c r="M19" s="125">
        <f t="shared" si="2"/>
        <v>958.28708348749888</v>
      </c>
      <c r="N19" s="863">
        <f t="shared" si="4"/>
        <v>69.951619189853531</v>
      </c>
      <c r="O19" s="422">
        <f>G8</f>
        <v>452</v>
      </c>
      <c r="P19" s="866"/>
      <c r="Q19" s="522">
        <v>1</v>
      </c>
      <c r="R19" s="859">
        <v>0</v>
      </c>
      <c r="S19" s="125">
        <f t="shared" si="5"/>
        <v>452</v>
      </c>
      <c r="T19" s="340">
        <f t="shared" si="6"/>
        <v>0</v>
      </c>
      <c r="U19" s="850">
        <f t="shared" si="7"/>
        <v>506.28708348749888</v>
      </c>
      <c r="V19" s="889">
        <f t="shared" si="8"/>
        <v>69.951619189853531</v>
      </c>
      <c r="W19" s="148">
        <v>1</v>
      </c>
      <c r="X19" s="147">
        <f t="shared" si="9"/>
        <v>506.28708348749888</v>
      </c>
      <c r="Y19" s="889">
        <f t="shared" si="10"/>
        <v>69.951619189853531</v>
      </c>
      <c r="Z19" s="850">
        <f t="shared" si="11"/>
        <v>42.640246614971701</v>
      </c>
      <c r="AA19" s="889">
        <f t="shared" si="12"/>
        <v>27.292350044168533</v>
      </c>
      <c r="AB19" s="850">
        <f t="shared" si="3"/>
        <v>42.640246614971701</v>
      </c>
      <c r="AC19" s="889">
        <f t="shared" si="13"/>
        <v>22.986285650021312</v>
      </c>
      <c r="AD19" s="853">
        <f t="shared" si="28"/>
        <v>1</v>
      </c>
      <c r="AE19" s="894">
        <f t="shared" si="27"/>
        <v>0.83682706694174835</v>
      </c>
      <c r="AJ19" s="1583"/>
      <c r="AK19" s="1593"/>
      <c r="AL19" s="1593"/>
      <c r="AM19" s="1575" t="s">
        <v>346</v>
      </c>
      <c r="AN19" s="1575"/>
      <c r="AO19" s="1575"/>
      <c r="AP19" s="765">
        <f t="shared" si="14"/>
        <v>8.4221478298931493E-2</v>
      </c>
      <c r="AQ19" s="766">
        <f t="shared" si="15"/>
        <v>958.28708348749888</v>
      </c>
      <c r="AR19" s="767">
        <f t="shared" si="16"/>
        <v>1</v>
      </c>
      <c r="AS19" s="766">
        <f t="shared" si="17"/>
        <v>958.28708348749888</v>
      </c>
      <c r="AT19" s="766">
        <f t="shared" si="18"/>
        <v>452</v>
      </c>
      <c r="AU19" s="766">
        <f t="shared" si="19"/>
        <v>1</v>
      </c>
      <c r="AV19" s="766">
        <f t="shared" si="20"/>
        <v>452</v>
      </c>
      <c r="AW19" s="766">
        <f t="shared" si="21"/>
        <v>506.28708348749888</v>
      </c>
      <c r="AZ19" s="1583"/>
      <c r="BA19" s="1593"/>
      <c r="BB19" s="1593"/>
      <c r="BC19" s="1575" t="s">
        <v>346</v>
      </c>
      <c r="BD19" s="1575"/>
      <c r="BE19" s="1575"/>
      <c r="BF19" s="765">
        <f t="shared" si="22"/>
        <v>8.4221478298931493E-2</v>
      </c>
      <c r="BG19" s="781">
        <f t="shared" si="23"/>
        <v>506.28708348749888</v>
      </c>
      <c r="BH19" s="782">
        <f t="shared" si="24"/>
        <v>1</v>
      </c>
      <c r="BI19" s="783">
        <f t="shared" si="24"/>
        <v>506.28708348749888</v>
      </c>
      <c r="BJ19" s="782">
        <f t="shared" si="25"/>
        <v>42.640246614971701</v>
      </c>
      <c r="BK19" s="782">
        <f t="shared" si="26"/>
        <v>42.640246614971701</v>
      </c>
    </row>
    <row r="20" spans="1:63" ht="24.6" thickBot="1">
      <c r="A20" s="1782"/>
      <c r="B20" s="1782"/>
      <c r="C20" s="1782"/>
      <c r="D20" s="1789" t="s">
        <v>494</v>
      </c>
      <c r="E20" s="1789"/>
      <c r="F20" s="798" t="s">
        <v>509</v>
      </c>
      <c r="G20" s="723">
        <f>'Statewide Ref Dispostion'!AN14</f>
        <v>5.1842432725117987E-2</v>
      </c>
      <c r="H20" s="1290">
        <f>'Statewide Ref Dispostion'!AP14</f>
        <v>2.7432112796196733</v>
      </c>
      <c r="I20" s="130">
        <f t="shared" si="0"/>
        <v>958.28708348749888</v>
      </c>
      <c r="J20" s="870">
        <f t="shared" si="1"/>
        <v>69.951619189853531</v>
      </c>
      <c r="K20" s="122">
        <v>1</v>
      </c>
      <c r="L20" s="860">
        <v>0</v>
      </c>
      <c r="M20" s="126">
        <f t="shared" si="2"/>
        <v>958.28708348749888</v>
      </c>
      <c r="N20" s="864">
        <f t="shared" si="4"/>
        <v>69.951619189853531</v>
      </c>
      <c r="O20" s="126">
        <f>$G$6</f>
        <v>737</v>
      </c>
      <c r="P20" s="864"/>
      <c r="Q20" s="121">
        <v>1</v>
      </c>
      <c r="R20" s="860">
        <v>0</v>
      </c>
      <c r="S20" s="126">
        <f t="shared" si="5"/>
        <v>737</v>
      </c>
      <c r="T20" s="341">
        <f t="shared" si="6"/>
        <v>0</v>
      </c>
      <c r="U20" s="849">
        <f t="shared" si="7"/>
        <v>221.28708348749888</v>
      </c>
      <c r="V20" s="890">
        <f t="shared" si="8"/>
        <v>69.951619189853531</v>
      </c>
      <c r="W20" s="149">
        <v>1</v>
      </c>
      <c r="X20" s="144">
        <f t="shared" si="9"/>
        <v>221.28708348749888</v>
      </c>
      <c r="Y20" s="890">
        <f t="shared" si="10"/>
        <v>69.951619189853531</v>
      </c>
      <c r="Z20" s="849">
        <f t="shared" si="11"/>
        <v>11.472060738638229</v>
      </c>
      <c r="AA20" s="890">
        <f t="shared" si="12"/>
        <v>8.8573366583814206</v>
      </c>
      <c r="AB20" s="849">
        <f t="shared" si="3"/>
        <v>11.472060738638229</v>
      </c>
      <c r="AC20" s="890">
        <f t="shared" si="13"/>
        <v>7.0711135272333427</v>
      </c>
      <c r="AD20" s="854">
        <f t="shared" si="28"/>
        <v>1</v>
      </c>
      <c r="AE20" s="895">
        <f t="shared" si="27"/>
        <v>0.98794049715148391</v>
      </c>
      <c r="AJ20" s="1583"/>
      <c r="AK20" s="1593"/>
      <c r="AL20" s="1593"/>
      <c r="AM20" s="1605" t="s">
        <v>494</v>
      </c>
      <c r="AN20" s="1605"/>
      <c r="AO20" s="774" t="s">
        <v>509</v>
      </c>
      <c r="AP20" s="765">
        <f t="shared" si="14"/>
        <v>5.1842432725117987E-2</v>
      </c>
      <c r="AQ20" s="766">
        <f t="shared" si="15"/>
        <v>958.28708348749888</v>
      </c>
      <c r="AR20" s="767">
        <f t="shared" si="16"/>
        <v>1</v>
      </c>
      <c r="AS20" s="766">
        <f t="shared" si="17"/>
        <v>958.28708348749888</v>
      </c>
      <c r="AT20" s="766">
        <f t="shared" si="18"/>
        <v>737</v>
      </c>
      <c r="AU20" s="766">
        <f t="shared" si="19"/>
        <v>1</v>
      </c>
      <c r="AV20" s="766">
        <f t="shared" si="20"/>
        <v>737</v>
      </c>
      <c r="AW20" s="766">
        <f t="shared" si="21"/>
        <v>221.28708348749888</v>
      </c>
      <c r="AZ20" s="1583"/>
      <c r="BA20" s="1593"/>
      <c r="BB20" s="1593"/>
      <c r="BC20" s="1605" t="s">
        <v>494</v>
      </c>
      <c r="BD20" s="1605"/>
      <c r="BE20" s="774" t="s">
        <v>509</v>
      </c>
      <c r="BF20" s="765">
        <f t="shared" si="22"/>
        <v>5.1842432725117987E-2</v>
      </c>
      <c r="BG20" s="781">
        <f t="shared" si="23"/>
        <v>221.28708348749888</v>
      </c>
      <c r="BH20" s="782">
        <f t="shared" si="24"/>
        <v>1</v>
      </c>
      <c r="BI20" s="783">
        <f t="shared" si="24"/>
        <v>221.28708348749888</v>
      </c>
      <c r="BJ20" s="782">
        <f t="shared" si="25"/>
        <v>11.472060738638229</v>
      </c>
      <c r="BK20" s="782">
        <f t="shared" si="26"/>
        <v>11.472060738638229</v>
      </c>
    </row>
    <row r="21" spans="1:63" ht="24.6" thickBot="1">
      <c r="A21" s="1782"/>
      <c r="B21" s="1782"/>
      <c r="C21" s="1782"/>
      <c r="D21" s="1789"/>
      <c r="E21" s="1789"/>
      <c r="F21" s="798" t="s">
        <v>511</v>
      </c>
      <c r="G21" s="723">
        <f>'Statewide Ref Dispostion'!AN15</f>
        <v>1.4023771042849197E-2</v>
      </c>
      <c r="H21" s="1290">
        <f>'Statewide Ref Dispostion'!AP15</f>
        <v>0.82062945896532768</v>
      </c>
      <c r="I21" s="130">
        <f t="shared" si="0"/>
        <v>958.28708348749888</v>
      </c>
      <c r="J21" s="870">
        <f t="shared" si="1"/>
        <v>69.951619189853531</v>
      </c>
      <c r="K21" s="122">
        <f>'Part KIU-KU'!O$25</f>
        <v>0.96779020000000004</v>
      </c>
      <c r="L21" s="860">
        <v>0</v>
      </c>
      <c r="M21" s="126">
        <f t="shared" si="2"/>
        <v>927.42084818578326</v>
      </c>
      <c r="N21" s="864">
        <f t="shared" si="4"/>
        <v>67.698491526072189</v>
      </c>
      <c r="O21" s="126">
        <v>0</v>
      </c>
      <c r="P21" s="864"/>
      <c r="Q21" s="121">
        <f>'Part KIU-KU'!O$25</f>
        <v>0.96779020000000004</v>
      </c>
      <c r="R21" s="860">
        <v>0</v>
      </c>
      <c r="S21" s="126">
        <f t="shared" si="5"/>
        <v>0</v>
      </c>
      <c r="T21" s="341">
        <f t="shared" si="6"/>
        <v>0</v>
      </c>
      <c r="U21" s="849">
        <f t="shared" si="7"/>
        <v>927.42084818578326</v>
      </c>
      <c r="V21" s="890">
        <f t="shared" si="8"/>
        <v>67.698491526072189</v>
      </c>
      <c r="W21" s="149">
        <v>1</v>
      </c>
      <c r="X21" s="144">
        <f t="shared" si="9"/>
        <v>927.42084818578326</v>
      </c>
      <c r="Y21" s="890">
        <f t="shared" si="10"/>
        <v>67.698491526072189</v>
      </c>
      <c r="Z21" s="849">
        <f t="shared" si="11"/>
        <v>13.005937635322429</v>
      </c>
      <c r="AA21" s="890">
        <f t="shared" si="12"/>
        <v>8.3827361478693518</v>
      </c>
      <c r="AB21" s="849">
        <f t="shared" si="3"/>
        <v>13.005937635322429</v>
      </c>
      <c r="AC21" s="890">
        <f t="shared" si="13"/>
        <v>7.6696753626134067</v>
      </c>
      <c r="AD21" s="854">
        <f t="shared" si="28"/>
        <v>1</v>
      </c>
      <c r="AE21" s="895">
        <f t="shared" si="27"/>
        <v>0.87359808564028318</v>
      </c>
      <c r="AJ21" s="1583"/>
      <c r="AK21" s="1593"/>
      <c r="AL21" s="1594"/>
      <c r="AM21" s="1605"/>
      <c r="AN21" s="1605"/>
      <c r="AO21" s="774" t="s">
        <v>511</v>
      </c>
      <c r="AP21" s="765">
        <f t="shared" si="14"/>
        <v>1.4023771042849197E-2</v>
      </c>
      <c r="AQ21" s="766">
        <f t="shared" si="15"/>
        <v>958.28708348749888</v>
      </c>
      <c r="AR21" s="767">
        <f t="shared" si="16"/>
        <v>0.96779020000000004</v>
      </c>
      <c r="AS21" s="766">
        <f t="shared" si="17"/>
        <v>927.42084818578326</v>
      </c>
      <c r="AT21" s="766">
        <f t="shared" si="18"/>
        <v>0</v>
      </c>
      <c r="AU21" s="766">
        <f t="shared" si="19"/>
        <v>0.96779020000000004</v>
      </c>
      <c r="AV21" s="766">
        <f t="shared" si="20"/>
        <v>0</v>
      </c>
      <c r="AW21" s="766">
        <f t="shared" si="21"/>
        <v>927.42084818578326</v>
      </c>
      <c r="AZ21" s="1583"/>
      <c r="BA21" s="1593"/>
      <c r="BB21" s="1594"/>
      <c r="BC21" s="1605"/>
      <c r="BD21" s="1605"/>
      <c r="BE21" s="774" t="s">
        <v>511</v>
      </c>
      <c r="BF21" s="765">
        <f t="shared" si="22"/>
        <v>1.4023771042849197E-2</v>
      </c>
      <c r="BG21" s="781">
        <f t="shared" si="23"/>
        <v>927.42084818578326</v>
      </c>
      <c r="BH21" s="782">
        <f t="shared" si="24"/>
        <v>1</v>
      </c>
      <c r="BI21" s="783">
        <f t="shared" si="24"/>
        <v>927.42084818578326</v>
      </c>
      <c r="BJ21" s="782">
        <f t="shared" si="25"/>
        <v>13.005937635322429</v>
      </c>
      <c r="BK21" s="782">
        <f t="shared" si="26"/>
        <v>13.005937635322429</v>
      </c>
    </row>
    <row r="22" spans="1:63" ht="15" thickBot="1">
      <c r="A22" s="1782"/>
      <c r="B22" s="1782"/>
      <c r="C22" s="1786" t="s">
        <v>343</v>
      </c>
      <c r="D22" s="1787" t="s">
        <v>344</v>
      </c>
      <c r="E22" s="1787"/>
      <c r="F22" s="1787"/>
      <c r="G22" s="724">
        <f>'Statewide Ref Dispostion'!AN16</f>
        <v>4.3865910057667235E-3</v>
      </c>
      <c r="H22" s="1291">
        <f>'Statewide Ref Dispostion'!AP16</f>
        <v>0.31215528612774668</v>
      </c>
      <c r="I22" s="128">
        <f t="shared" si="0"/>
        <v>958.28708348749888</v>
      </c>
      <c r="J22" s="868">
        <f t="shared" si="1"/>
        <v>69.951619189853531</v>
      </c>
      <c r="K22" s="120">
        <f>'Part KIU-KU'!O$25</f>
        <v>0.96779020000000004</v>
      </c>
      <c r="L22" s="858">
        <f>'Part KIU-KU'!Q$25</f>
        <v>1.12687E-2</v>
      </c>
      <c r="M22" s="124">
        <f t="shared" si="2"/>
        <v>927.42084818578326</v>
      </c>
      <c r="N22" s="862">
        <f t="shared" si="4"/>
        <v>67.698577651152391</v>
      </c>
      <c r="O22" s="131">
        <f>$G$6</f>
        <v>737</v>
      </c>
      <c r="P22" s="865">
        <f>$H$6</f>
        <v>105</v>
      </c>
      <c r="Q22" s="120">
        <f>'Part KIU-KU'!O$25</f>
        <v>0.96779020000000004</v>
      </c>
      <c r="R22" s="858">
        <f>'Part KIU-KU'!J$25</f>
        <v>3.5229200000000002E-2</v>
      </c>
      <c r="S22" s="124">
        <f t="shared" si="5"/>
        <v>713.26137740000001</v>
      </c>
      <c r="T22" s="339">
        <f t="shared" si="6"/>
        <v>101.61830269529744</v>
      </c>
      <c r="U22" s="847">
        <f t="shared" si="7"/>
        <v>214.15947078578324</v>
      </c>
      <c r="V22" s="886">
        <f t="shared" si="8"/>
        <v>122.10395922598991</v>
      </c>
      <c r="W22" s="141">
        <v>1</v>
      </c>
      <c r="X22" s="140">
        <f t="shared" si="9"/>
        <v>214.15947078578324</v>
      </c>
      <c r="Y22" s="886">
        <f t="shared" si="10"/>
        <v>122.10395922598991</v>
      </c>
      <c r="Z22" s="847">
        <f t="shared" si="11"/>
        <v>0.93943000834867818</v>
      </c>
      <c r="AA22" s="886">
        <f t="shared" si="12"/>
        <v>0.97472221074409626</v>
      </c>
      <c r="AB22" s="847">
        <f t="shared" si="3"/>
        <v>0.93943000834867818</v>
      </c>
      <c r="AC22" s="886">
        <f t="shared" si="13"/>
        <v>0.85661816960090531</v>
      </c>
      <c r="AD22" s="852">
        <f t="shared" si="28"/>
        <v>1</v>
      </c>
      <c r="AE22" s="892">
        <f t="shared" si="27"/>
        <v>1.3813091623012006</v>
      </c>
      <c r="AJ22" s="1583"/>
      <c r="AK22" s="1593"/>
      <c r="AL22" s="1592" t="s">
        <v>343</v>
      </c>
      <c r="AM22" s="1575" t="s">
        <v>344</v>
      </c>
      <c r="AN22" s="1575"/>
      <c r="AO22" s="1575"/>
      <c r="AP22" s="765">
        <f t="shared" si="14"/>
        <v>4.3865910057667235E-3</v>
      </c>
      <c r="AQ22" s="766">
        <f t="shared" si="15"/>
        <v>958.28708348749888</v>
      </c>
      <c r="AR22" s="767">
        <f t="shared" si="16"/>
        <v>0.96779020000000004</v>
      </c>
      <c r="AS22" s="766">
        <f t="shared" si="17"/>
        <v>927.42084818578326</v>
      </c>
      <c r="AT22" s="766">
        <f t="shared" si="18"/>
        <v>737</v>
      </c>
      <c r="AU22" s="766">
        <f t="shared" si="19"/>
        <v>0.96779020000000004</v>
      </c>
      <c r="AV22" s="766">
        <f t="shared" si="20"/>
        <v>713.26137740000001</v>
      </c>
      <c r="AW22" s="766">
        <f t="shared" si="21"/>
        <v>214.15947078578324</v>
      </c>
      <c r="AZ22" s="1583"/>
      <c r="BA22" s="1593"/>
      <c r="BB22" s="1592" t="s">
        <v>343</v>
      </c>
      <c r="BC22" s="1575" t="s">
        <v>344</v>
      </c>
      <c r="BD22" s="1575"/>
      <c r="BE22" s="1575"/>
      <c r="BF22" s="765">
        <f t="shared" si="22"/>
        <v>4.3865910057667235E-3</v>
      </c>
      <c r="BG22" s="781">
        <f t="shared" si="23"/>
        <v>214.15947078578324</v>
      </c>
      <c r="BH22" s="782">
        <f t="shared" si="24"/>
        <v>1</v>
      </c>
      <c r="BI22" s="783">
        <f t="shared" si="24"/>
        <v>214.15947078578324</v>
      </c>
      <c r="BJ22" s="782">
        <f t="shared" si="25"/>
        <v>0.93943000834867818</v>
      </c>
      <c r="BK22" s="782">
        <f t="shared" si="26"/>
        <v>0.93943000834867818</v>
      </c>
    </row>
    <row r="23" spans="1:63" ht="15" thickBot="1">
      <c r="A23" s="1782"/>
      <c r="B23" s="1782"/>
      <c r="C23" s="1786"/>
      <c r="D23" s="1787" t="s">
        <v>345</v>
      </c>
      <c r="E23" s="1787"/>
      <c r="F23" s="1787"/>
      <c r="G23" s="725">
        <f>'Statewide Ref Dispostion'!AN17</f>
        <v>2.0012557038668416E-2</v>
      </c>
      <c r="H23" s="1291">
        <f>'Statewide Ref Dispostion'!AP17</f>
        <v>1.1081772867721706</v>
      </c>
      <c r="I23" s="129">
        <f t="shared" si="0"/>
        <v>958.28708348749888</v>
      </c>
      <c r="J23" s="869">
        <f t="shared" si="1"/>
        <v>69.951619189853531</v>
      </c>
      <c r="K23" s="119">
        <f>'Part KIU-KU'!O$25</f>
        <v>0.96779020000000004</v>
      </c>
      <c r="L23" s="859">
        <f>'Part KIU-KU'!Q$25</f>
        <v>1.12687E-2</v>
      </c>
      <c r="M23" s="125">
        <f t="shared" si="2"/>
        <v>927.42084818578326</v>
      </c>
      <c r="N23" s="863">
        <f t="shared" si="4"/>
        <v>67.698577651152391</v>
      </c>
      <c r="O23" s="125">
        <f>$G$7</f>
        <v>635</v>
      </c>
      <c r="P23" s="863">
        <f>$H$7</f>
        <v>84</v>
      </c>
      <c r="Q23" s="119">
        <f>'Part KIU-KU'!O$25</f>
        <v>0.96779020000000004</v>
      </c>
      <c r="R23" s="859">
        <f>'Part KIU-KU'!J$25</f>
        <v>3.5229200000000002E-2</v>
      </c>
      <c r="S23" s="125">
        <f t="shared" si="5"/>
        <v>614.54677700000002</v>
      </c>
      <c r="T23" s="340">
        <f t="shared" si="6"/>
        <v>81.294684595090942</v>
      </c>
      <c r="U23" s="850">
        <f t="shared" si="7"/>
        <v>312.87407118578324</v>
      </c>
      <c r="V23" s="889">
        <f t="shared" si="8"/>
        <v>105.79188607546624</v>
      </c>
      <c r="W23" s="148">
        <v>1</v>
      </c>
      <c r="X23" s="147">
        <f t="shared" si="9"/>
        <v>312.87407118578324</v>
      </c>
      <c r="Y23" s="889">
        <f t="shared" si="10"/>
        <v>105.79188607546624</v>
      </c>
      <c r="Z23" s="850">
        <f t="shared" si="11"/>
        <v>6.2614101955258894</v>
      </c>
      <c r="AA23" s="889">
        <f t="shared" si="12"/>
        <v>5.0277149258502503</v>
      </c>
      <c r="AB23" s="850">
        <f t="shared" si="3"/>
        <v>6.2614101955258894</v>
      </c>
      <c r="AC23" s="889">
        <f t="shared" si="13"/>
        <v>4.0624948192393981</v>
      </c>
      <c r="AD23" s="853">
        <f t="shared" si="28"/>
        <v>1</v>
      </c>
      <c r="AE23" s="894">
        <f t="shared" si="27"/>
        <v>1.0323365904386022</v>
      </c>
      <c r="AJ23" s="1583"/>
      <c r="AK23" s="1593"/>
      <c r="AL23" s="1593"/>
      <c r="AM23" s="1575" t="s">
        <v>345</v>
      </c>
      <c r="AN23" s="1575"/>
      <c r="AO23" s="1575"/>
      <c r="AP23" s="765">
        <f t="shared" si="14"/>
        <v>2.0012557038668416E-2</v>
      </c>
      <c r="AQ23" s="766">
        <f t="shared" si="15"/>
        <v>958.28708348749888</v>
      </c>
      <c r="AR23" s="767">
        <f t="shared" si="16"/>
        <v>0.96779020000000004</v>
      </c>
      <c r="AS23" s="766">
        <f t="shared" si="17"/>
        <v>927.42084818578326</v>
      </c>
      <c r="AT23" s="766">
        <f t="shared" si="18"/>
        <v>635</v>
      </c>
      <c r="AU23" s="766">
        <f t="shared" si="19"/>
        <v>0.96779020000000004</v>
      </c>
      <c r="AV23" s="766">
        <f t="shared" si="20"/>
        <v>614.54677700000002</v>
      </c>
      <c r="AW23" s="766">
        <f t="shared" si="21"/>
        <v>312.87407118578324</v>
      </c>
      <c r="AZ23" s="1583"/>
      <c r="BA23" s="1593"/>
      <c r="BB23" s="1593"/>
      <c r="BC23" s="1575" t="s">
        <v>345</v>
      </c>
      <c r="BD23" s="1575"/>
      <c r="BE23" s="1575"/>
      <c r="BF23" s="765">
        <f t="shared" si="22"/>
        <v>2.0012557038668416E-2</v>
      </c>
      <c r="BG23" s="781">
        <f t="shared" si="23"/>
        <v>312.87407118578324</v>
      </c>
      <c r="BH23" s="782">
        <f t="shared" si="24"/>
        <v>1</v>
      </c>
      <c r="BI23" s="783">
        <f t="shared" si="24"/>
        <v>312.87407118578324</v>
      </c>
      <c r="BJ23" s="782">
        <f t="shared" si="25"/>
        <v>6.2614101955258894</v>
      </c>
      <c r="BK23" s="782">
        <f t="shared" si="26"/>
        <v>6.2614101955258894</v>
      </c>
    </row>
    <row r="24" spans="1:63" ht="15" thickBot="1">
      <c r="A24" s="1782"/>
      <c r="B24" s="1782"/>
      <c r="C24" s="1786"/>
      <c r="D24" s="1787" t="s">
        <v>346</v>
      </c>
      <c r="E24" s="1787"/>
      <c r="F24" s="1787"/>
      <c r="G24" s="725">
        <f>'Statewide Ref Dispostion'!AN18</f>
        <v>1.2032597130769086E-2</v>
      </c>
      <c r="H24" s="1291">
        <f>'Statewide Ref Dispostion'!AP18</f>
        <v>0.69844116090033626</v>
      </c>
      <c r="I24" s="129">
        <f t="shared" si="0"/>
        <v>958.28708348749888</v>
      </c>
      <c r="J24" s="869">
        <f t="shared" si="1"/>
        <v>69.951619189853531</v>
      </c>
      <c r="K24" s="119">
        <f>'Part KIU-KU'!O$25</f>
        <v>0.96779020000000004</v>
      </c>
      <c r="L24" s="859">
        <f>'Part KIU-KU'!Q$25</f>
        <v>1.12687E-2</v>
      </c>
      <c r="M24" s="125">
        <f t="shared" si="2"/>
        <v>927.42084818578326</v>
      </c>
      <c r="N24" s="863">
        <f t="shared" si="4"/>
        <v>67.698577651152391</v>
      </c>
      <c r="O24" s="422">
        <f>G8</f>
        <v>452</v>
      </c>
      <c r="P24" s="866"/>
      <c r="Q24" s="119">
        <f>'Part KIU-KU'!O$25</f>
        <v>0.96779020000000004</v>
      </c>
      <c r="R24" s="859">
        <f>'Part KIU-KU'!J$25</f>
        <v>3.5229200000000002E-2</v>
      </c>
      <c r="S24" s="125">
        <f t="shared" si="5"/>
        <v>437.44117040000003</v>
      </c>
      <c r="T24" s="340">
        <f t="shared" si="6"/>
        <v>0.15923598400000002</v>
      </c>
      <c r="U24" s="850">
        <f t="shared" si="7"/>
        <v>489.97967778578322</v>
      </c>
      <c r="V24" s="889">
        <f t="shared" si="8"/>
        <v>67.698764922912076</v>
      </c>
      <c r="W24" s="148">
        <v>1</v>
      </c>
      <c r="X24" s="147">
        <f t="shared" si="9"/>
        <v>489.97967778578322</v>
      </c>
      <c r="Y24" s="889">
        <f t="shared" si="10"/>
        <v>67.698764922912076</v>
      </c>
      <c r="Z24" s="850">
        <f t="shared" si="11"/>
        <v>5.8957280650603767</v>
      </c>
      <c r="AA24" s="889">
        <f t="shared" si="12"/>
        <v>4.0637668144631576</v>
      </c>
      <c r="AB24" s="850">
        <f t="shared" si="3"/>
        <v>5.8957280650603767</v>
      </c>
      <c r="AC24" s="889">
        <f t="shared" si="13"/>
        <v>3.5178328675470625</v>
      </c>
      <c r="AD24" s="853">
        <f t="shared" si="28"/>
        <v>1</v>
      </c>
      <c r="AE24" s="894">
        <f t="shared" si="27"/>
        <v>0.91165691899043644</v>
      </c>
      <c r="AJ24" s="1583"/>
      <c r="AK24" s="1593"/>
      <c r="AL24" s="1593"/>
      <c r="AM24" s="1575" t="s">
        <v>346</v>
      </c>
      <c r="AN24" s="1575"/>
      <c r="AO24" s="1575"/>
      <c r="AP24" s="765">
        <f t="shared" si="14"/>
        <v>1.2032597130769086E-2</v>
      </c>
      <c r="AQ24" s="766">
        <f t="shared" si="15"/>
        <v>958.28708348749888</v>
      </c>
      <c r="AR24" s="767">
        <f t="shared" si="16"/>
        <v>0.96779020000000004</v>
      </c>
      <c r="AS24" s="766">
        <f t="shared" si="17"/>
        <v>927.42084818578326</v>
      </c>
      <c r="AT24" s="766">
        <f t="shared" si="18"/>
        <v>452</v>
      </c>
      <c r="AU24" s="766">
        <f t="shared" si="19"/>
        <v>0.96779020000000004</v>
      </c>
      <c r="AV24" s="766">
        <f t="shared" si="20"/>
        <v>437.44117040000003</v>
      </c>
      <c r="AW24" s="766">
        <f t="shared" si="21"/>
        <v>489.97967778578322</v>
      </c>
      <c r="AZ24" s="1583"/>
      <c r="BA24" s="1593"/>
      <c r="BB24" s="1593"/>
      <c r="BC24" s="1575" t="s">
        <v>346</v>
      </c>
      <c r="BD24" s="1575"/>
      <c r="BE24" s="1575"/>
      <c r="BF24" s="765">
        <f t="shared" si="22"/>
        <v>1.2032597130769086E-2</v>
      </c>
      <c r="BG24" s="781">
        <f t="shared" si="23"/>
        <v>489.97967778578322</v>
      </c>
      <c r="BH24" s="782">
        <f t="shared" si="24"/>
        <v>1</v>
      </c>
      <c r="BI24" s="783">
        <f t="shared" si="24"/>
        <v>489.97967778578322</v>
      </c>
      <c r="BJ24" s="782">
        <f t="shared" si="25"/>
        <v>5.8957280650603767</v>
      </c>
      <c r="BK24" s="782">
        <f t="shared" si="26"/>
        <v>5.8957280650603767</v>
      </c>
    </row>
    <row r="25" spans="1:63" ht="15" thickBot="1">
      <c r="A25" s="1782"/>
      <c r="B25" s="1782"/>
      <c r="C25" s="1786"/>
      <c r="D25" s="1787" t="s">
        <v>347</v>
      </c>
      <c r="E25" s="1787"/>
      <c r="F25" s="1787"/>
      <c r="G25" s="726">
        <f>'Statewide Ref Dispostion'!AN19</f>
        <v>3.6340924882971623E-2</v>
      </c>
      <c r="H25" s="1291">
        <f>'Statewide Ref Dispostion'!AP19</f>
        <v>1.91660078991883</v>
      </c>
      <c r="I25" s="130">
        <f t="shared" si="0"/>
        <v>958.28708348749888</v>
      </c>
      <c r="J25" s="870">
        <f t="shared" si="1"/>
        <v>69.951619189853531</v>
      </c>
      <c r="K25" s="122">
        <f>'Part KIU-KU'!O$25</f>
        <v>0.96779020000000004</v>
      </c>
      <c r="L25" s="860">
        <f>'Part KIU-KU'!Q$25</f>
        <v>1.12687E-2</v>
      </c>
      <c r="M25" s="126">
        <f t="shared" si="2"/>
        <v>927.42084818578326</v>
      </c>
      <c r="N25" s="864">
        <f t="shared" si="4"/>
        <v>67.698577651152391</v>
      </c>
      <c r="O25" s="126">
        <v>0</v>
      </c>
      <c r="P25" s="864"/>
      <c r="Q25" s="122">
        <f>'Part KIU-KU'!O$25</f>
        <v>0.96779020000000004</v>
      </c>
      <c r="R25" s="860">
        <f>'Part KIU-KU'!J$25</f>
        <v>3.5229200000000002E-2</v>
      </c>
      <c r="S25" s="126">
        <f t="shared" si="5"/>
        <v>0</v>
      </c>
      <c r="T25" s="341">
        <f t="shared" si="6"/>
        <v>0</v>
      </c>
      <c r="U25" s="849">
        <f t="shared" si="7"/>
        <v>927.42084818578326</v>
      </c>
      <c r="V25" s="890">
        <f t="shared" si="8"/>
        <v>67.698577651152391</v>
      </c>
      <c r="W25" s="149">
        <v>1</v>
      </c>
      <c r="X25" s="144">
        <f t="shared" si="9"/>
        <v>927.42084818578326</v>
      </c>
      <c r="Y25" s="890">
        <f t="shared" si="10"/>
        <v>67.698577651152391</v>
      </c>
      <c r="Z25" s="849">
        <f t="shared" si="11"/>
        <v>33.703331378821382</v>
      </c>
      <c r="AA25" s="890">
        <f t="shared" si="12"/>
        <v>19.971653580156822</v>
      </c>
      <c r="AB25" s="849">
        <f t="shared" si="3"/>
        <v>33.703331378821382</v>
      </c>
      <c r="AC25" s="890">
        <f t="shared" si="13"/>
        <v>17.944407551077067</v>
      </c>
      <c r="AD25" s="854">
        <f t="shared" si="28"/>
        <v>1</v>
      </c>
      <c r="AE25" s="895">
        <f t="shared" si="27"/>
        <v>0.79662743087669541</v>
      </c>
      <c r="AJ25" s="1583"/>
      <c r="AK25" s="1594"/>
      <c r="AL25" s="1594"/>
      <c r="AM25" s="1575" t="s">
        <v>347</v>
      </c>
      <c r="AN25" s="1575"/>
      <c r="AO25" s="1575"/>
      <c r="AP25" s="765">
        <f t="shared" si="14"/>
        <v>3.6340924882971623E-2</v>
      </c>
      <c r="AQ25" s="766">
        <f t="shared" si="15"/>
        <v>958.28708348749888</v>
      </c>
      <c r="AR25" s="767">
        <f t="shared" si="16"/>
        <v>0.96779020000000004</v>
      </c>
      <c r="AS25" s="766">
        <f t="shared" si="17"/>
        <v>927.42084818578326</v>
      </c>
      <c r="AT25" s="766">
        <f t="shared" si="18"/>
        <v>0</v>
      </c>
      <c r="AU25" s="766">
        <f t="shared" si="19"/>
        <v>0.96779020000000004</v>
      </c>
      <c r="AV25" s="766">
        <f t="shared" si="20"/>
        <v>0</v>
      </c>
      <c r="AW25" s="766">
        <f t="shared" si="21"/>
        <v>927.42084818578326</v>
      </c>
      <c r="AZ25" s="1583"/>
      <c r="BA25" s="1594"/>
      <c r="BB25" s="1594"/>
      <c r="BC25" s="1575" t="s">
        <v>347</v>
      </c>
      <c r="BD25" s="1575"/>
      <c r="BE25" s="1575"/>
      <c r="BF25" s="765">
        <f t="shared" si="22"/>
        <v>3.6340924882971623E-2</v>
      </c>
      <c r="BG25" s="781">
        <f t="shared" si="23"/>
        <v>927.42084818578326</v>
      </c>
      <c r="BH25" s="782">
        <f t="shared" si="24"/>
        <v>1</v>
      </c>
      <c r="BI25" s="783">
        <f t="shared" si="24"/>
        <v>927.42084818578326</v>
      </c>
      <c r="BJ25" s="782">
        <f t="shared" si="25"/>
        <v>33.703331378821382</v>
      </c>
      <c r="BK25" s="782">
        <f t="shared" si="26"/>
        <v>33.703331378821382</v>
      </c>
    </row>
    <row r="26" spans="1:63" ht="15.6" thickBot="1">
      <c r="A26" s="1782"/>
      <c r="B26" s="1748" t="s">
        <v>88</v>
      </c>
      <c r="C26" s="1748" t="s">
        <v>348</v>
      </c>
      <c r="D26" s="1748" t="s">
        <v>342</v>
      </c>
      <c r="E26" s="1750" t="s">
        <v>345</v>
      </c>
      <c r="F26" s="1750"/>
      <c r="G26" s="727">
        <f>'Statewide Ref Dispostion'!AN20</f>
        <v>7.4297916790629318E-2</v>
      </c>
      <c r="H26" s="1292">
        <f>'Statewide Ref Dispostion'!AP20</f>
        <v>5.8945527307264713</v>
      </c>
      <c r="I26" s="128">
        <f t="shared" si="0"/>
        <v>958.28708348749888</v>
      </c>
      <c r="J26" s="868">
        <f t="shared" si="1"/>
        <v>69.951619189853531</v>
      </c>
      <c r="K26" s="120">
        <v>1</v>
      </c>
      <c r="L26" s="858">
        <v>0</v>
      </c>
      <c r="M26" s="124">
        <f t="shared" si="2"/>
        <v>958.28708348749888</v>
      </c>
      <c r="N26" s="862">
        <f t="shared" si="4"/>
        <v>69.951619189853531</v>
      </c>
      <c r="O26" s="124">
        <f>$G$7</f>
        <v>635</v>
      </c>
      <c r="P26" s="862">
        <f>$H$7</f>
        <v>84</v>
      </c>
      <c r="Q26" s="521">
        <v>1</v>
      </c>
      <c r="R26" s="858">
        <v>0</v>
      </c>
      <c r="S26" s="124">
        <f t="shared" si="5"/>
        <v>635</v>
      </c>
      <c r="T26" s="339">
        <f t="shared" si="6"/>
        <v>84</v>
      </c>
      <c r="U26" s="847">
        <f t="shared" si="7"/>
        <v>323.28708348749888</v>
      </c>
      <c r="V26" s="886">
        <f t="shared" si="8"/>
        <v>109.31252914136735</v>
      </c>
      <c r="W26" s="141">
        <v>1</v>
      </c>
      <c r="X26" s="140">
        <f t="shared" si="9"/>
        <v>323.28708348749888</v>
      </c>
      <c r="Y26" s="886">
        <f t="shared" si="10"/>
        <v>109.31252914136735</v>
      </c>
      <c r="Z26" s="847">
        <f t="shared" si="11"/>
        <v>24.019556828439423</v>
      </c>
      <c r="AA26" s="886">
        <f t="shared" si="12"/>
        <v>23.626745292566664</v>
      </c>
      <c r="AB26" s="847">
        <f t="shared" si="3"/>
        <v>24.019556828439423</v>
      </c>
      <c r="AC26" s="886">
        <f t="shared" si="13"/>
        <v>20.714862351422401</v>
      </c>
      <c r="AD26" s="852">
        <f t="shared" si="28"/>
        <v>1</v>
      </c>
      <c r="AE26" s="892">
        <f t="shared" si="27"/>
        <v>1.3081750802082419</v>
      </c>
      <c r="AJ26" s="1583"/>
      <c r="AK26" s="1592" t="s">
        <v>88</v>
      </c>
      <c r="AL26" s="1583" t="s">
        <v>348</v>
      </c>
      <c r="AM26" s="1592" t="s">
        <v>342</v>
      </c>
      <c r="AN26" s="1584" t="s">
        <v>345</v>
      </c>
      <c r="AO26" s="1586"/>
      <c r="AP26" s="765">
        <f t="shared" si="14"/>
        <v>7.4297916790629318E-2</v>
      </c>
      <c r="AQ26" s="766">
        <f t="shared" si="15"/>
        <v>958.28708348749888</v>
      </c>
      <c r="AR26" s="767">
        <f t="shared" si="16"/>
        <v>1</v>
      </c>
      <c r="AS26" s="766">
        <f t="shared" si="17"/>
        <v>958.28708348749888</v>
      </c>
      <c r="AT26" s="766">
        <f t="shared" si="18"/>
        <v>635</v>
      </c>
      <c r="AU26" s="766">
        <f t="shared" si="19"/>
        <v>1</v>
      </c>
      <c r="AV26" s="766">
        <f t="shared" si="20"/>
        <v>635</v>
      </c>
      <c r="AW26" s="766">
        <f t="shared" si="21"/>
        <v>323.28708348749888</v>
      </c>
      <c r="AZ26" s="1583"/>
      <c r="BA26" s="1592" t="s">
        <v>88</v>
      </c>
      <c r="BB26" s="1583" t="s">
        <v>348</v>
      </c>
      <c r="BC26" s="1592" t="s">
        <v>342</v>
      </c>
      <c r="BD26" s="1584" t="s">
        <v>345</v>
      </c>
      <c r="BE26" s="1586"/>
      <c r="BF26" s="765">
        <f t="shared" si="22"/>
        <v>7.4297916790629318E-2</v>
      </c>
      <c r="BG26" s="781">
        <f t="shared" si="23"/>
        <v>323.28708348749888</v>
      </c>
      <c r="BH26" s="782">
        <f t="shared" si="24"/>
        <v>1</v>
      </c>
      <c r="BI26" s="783">
        <f t="shared" si="24"/>
        <v>323.28708348749888</v>
      </c>
      <c r="BJ26" s="782">
        <f t="shared" si="25"/>
        <v>24.019556828439423</v>
      </c>
      <c r="BK26" s="782">
        <f t="shared" si="26"/>
        <v>24.019556828439423</v>
      </c>
    </row>
    <row r="27" spans="1:63" ht="15" thickBot="1">
      <c r="A27" s="1782"/>
      <c r="B27" s="1748"/>
      <c r="C27" s="1748"/>
      <c r="D27" s="1748"/>
      <c r="E27" s="1747" t="s">
        <v>346</v>
      </c>
      <c r="F27" s="1747"/>
      <c r="G27" s="728">
        <f>'Statewide Ref Dispostion'!AN21</f>
        <v>5.6951714683935721E-2</v>
      </c>
      <c r="H27" s="1292">
        <f>'Statewide Ref Dispostion'!AP21</f>
        <v>4.5430947206500267</v>
      </c>
      <c r="I27" s="129">
        <f t="shared" si="0"/>
        <v>958.28708348749888</v>
      </c>
      <c r="J27" s="869">
        <f t="shared" si="1"/>
        <v>69.951619189853531</v>
      </c>
      <c r="K27" s="119">
        <v>1</v>
      </c>
      <c r="L27" s="859">
        <v>0</v>
      </c>
      <c r="M27" s="125">
        <f t="shared" si="2"/>
        <v>958.28708348749888</v>
      </c>
      <c r="N27" s="863">
        <f t="shared" si="4"/>
        <v>69.951619189853531</v>
      </c>
      <c r="O27" s="422">
        <f>G8</f>
        <v>452</v>
      </c>
      <c r="P27" s="866"/>
      <c r="Q27" s="522">
        <v>1</v>
      </c>
      <c r="R27" s="859">
        <v>0</v>
      </c>
      <c r="S27" s="125">
        <f t="shared" si="5"/>
        <v>452</v>
      </c>
      <c r="T27" s="340">
        <f t="shared" si="6"/>
        <v>0</v>
      </c>
      <c r="U27" s="850">
        <f t="shared" si="7"/>
        <v>506.28708348749888</v>
      </c>
      <c r="V27" s="889">
        <f t="shared" si="8"/>
        <v>69.951619189853531</v>
      </c>
      <c r="W27" s="148">
        <v>1</v>
      </c>
      <c r="X27" s="147">
        <f t="shared" si="9"/>
        <v>506.28708348749888</v>
      </c>
      <c r="Y27" s="889">
        <f t="shared" si="10"/>
        <v>69.951619189853531</v>
      </c>
      <c r="Z27" s="850">
        <f t="shared" si="11"/>
        <v>28.833917526941981</v>
      </c>
      <c r="AA27" s="889">
        <f t="shared" si="12"/>
        <v>25.375600627619928</v>
      </c>
      <c r="AB27" s="850">
        <f t="shared" si="3"/>
        <v>28.833917526941981</v>
      </c>
      <c r="AC27" s="889">
        <f t="shared" si="13"/>
        <v>23.343561421579377</v>
      </c>
      <c r="AD27" s="853">
        <f t="shared" si="28"/>
        <v>1</v>
      </c>
      <c r="AE27" s="894">
        <f t="shared" si="27"/>
        <v>1.1958001251813284</v>
      </c>
      <c r="AJ27" s="1583"/>
      <c r="AK27" s="1593"/>
      <c r="AL27" s="1583"/>
      <c r="AM27" s="1593"/>
      <c r="AN27" s="1587" t="s">
        <v>346</v>
      </c>
      <c r="AO27" s="1587"/>
      <c r="AP27" s="765">
        <f t="shared" si="14"/>
        <v>5.6951714683935721E-2</v>
      </c>
      <c r="AQ27" s="766">
        <f t="shared" si="15"/>
        <v>958.28708348749888</v>
      </c>
      <c r="AR27" s="767">
        <f t="shared" si="16"/>
        <v>1</v>
      </c>
      <c r="AS27" s="766">
        <f t="shared" si="17"/>
        <v>958.28708348749888</v>
      </c>
      <c r="AT27" s="766">
        <f t="shared" si="18"/>
        <v>452</v>
      </c>
      <c r="AU27" s="766">
        <f t="shared" si="19"/>
        <v>1</v>
      </c>
      <c r="AV27" s="766">
        <f t="shared" si="20"/>
        <v>452</v>
      </c>
      <c r="AW27" s="766">
        <f t="shared" si="21"/>
        <v>506.28708348749888</v>
      </c>
      <c r="AZ27" s="1583"/>
      <c r="BA27" s="1593"/>
      <c r="BB27" s="1583"/>
      <c r="BC27" s="1593"/>
      <c r="BD27" s="1587" t="s">
        <v>346</v>
      </c>
      <c r="BE27" s="1587"/>
      <c r="BF27" s="765">
        <f t="shared" si="22"/>
        <v>5.6951714683935721E-2</v>
      </c>
      <c r="BG27" s="781">
        <f t="shared" si="23"/>
        <v>506.28708348749888</v>
      </c>
      <c r="BH27" s="782">
        <f t="shared" si="24"/>
        <v>1</v>
      </c>
      <c r="BI27" s="783">
        <f t="shared" si="24"/>
        <v>506.28708348749888</v>
      </c>
      <c r="BJ27" s="782">
        <f t="shared" si="25"/>
        <v>28.833917526941981</v>
      </c>
      <c r="BK27" s="782">
        <f t="shared" si="26"/>
        <v>28.833917526941981</v>
      </c>
    </row>
    <row r="28" spans="1:63" ht="24.6" thickBot="1">
      <c r="A28" s="1782"/>
      <c r="B28" s="1748"/>
      <c r="C28" s="1748"/>
      <c r="D28" s="1748"/>
      <c r="E28" s="1741" t="s">
        <v>495</v>
      </c>
      <c r="F28" s="801" t="s">
        <v>509</v>
      </c>
      <c r="G28" s="729">
        <f>'Statewide Ref Dispostion'!AN22</f>
        <v>3.297520714939247E-2</v>
      </c>
      <c r="H28" s="1292">
        <f>'Statewide Ref Dispostion'!AP22</f>
        <v>2.6751857303164588</v>
      </c>
      <c r="I28" s="130">
        <f t="shared" si="0"/>
        <v>958.28708348749888</v>
      </c>
      <c r="J28" s="870">
        <f t="shared" si="1"/>
        <v>69.951619189853531</v>
      </c>
      <c r="K28" s="122">
        <v>1</v>
      </c>
      <c r="L28" s="860">
        <v>0</v>
      </c>
      <c r="M28" s="126">
        <f t="shared" si="2"/>
        <v>958.28708348749888</v>
      </c>
      <c r="N28" s="864">
        <f t="shared" si="4"/>
        <v>69.951619189853531</v>
      </c>
      <c r="O28" s="126">
        <f>$G$6</f>
        <v>737</v>
      </c>
      <c r="P28" s="864"/>
      <c r="Q28" s="121">
        <v>1</v>
      </c>
      <c r="R28" s="860">
        <v>0</v>
      </c>
      <c r="S28" s="126">
        <f t="shared" si="5"/>
        <v>737</v>
      </c>
      <c r="T28" s="341">
        <f t="shared" si="6"/>
        <v>0</v>
      </c>
      <c r="U28" s="849">
        <f t="shared" si="7"/>
        <v>221.28708348749888</v>
      </c>
      <c r="V28" s="890">
        <f t="shared" si="8"/>
        <v>69.951619189853531</v>
      </c>
      <c r="W28" s="149">
        <v>1</v>
      </c>
      <c r="X28" s="144">
        <f t="shared" si="9"/>
        <v>221.28708348749888</v>
      </c>
      <c r="Y28" s="890">
        <f t="shared" si="10"/>
        <v>69.951619189853531</v>
      </c>
      <c r="Z28" s="849">
        <f t="shared" si="11"/>
        <v>7.2969874174851812</v>
      </c>
      <c r="AA28" s="890">
        <f t="shared" si="12"/>
        <v>7.2025167098642866</v>
      </c>
      <c r="AB28" s="849">
        <f t="shared" si="3"/>
        <v>7.2969874174851812</v>
      </c>
      <c r="AC28" s="890">
        <f t="shared" si="13"/>
        <v>6.3533639754553759</v>
      </c>
      <c r="AD28" s="854">
        <f t="shared" si="28"/>
        <v>1</v>
      </c>
      <c r="AE28" s="895">
        <f t="shared" si="27"/>
        <v>1.3161928755696499</v>
      </c>
      <c r="AJ28" s="1583"/>
      <c r="AK28" s="1593"/>
      <c r="AL28" s="1583"/>
      <c r="AM28" s="1593"/>
      <c r="AN28" s="1595" t="s">
        <v>495</v>
      </c>
      <c r="AO28" s="774" t="s">
        <v>509</v>
      </c>
      <c r="AP28" s="765">
        <f t="shared" si="14"/>
        <v>3.297520714939247E-2</v>
      </c>
      <c r="AQ28" s="766">
        <f t="shared" si="15"/>
        <v>958.28708348749888</v>
      </c>
      <c r="AR28" s="767">
        <f t="shared" si="16"/>
        <v>1</v>
      </c>
      <c r="AS28" s="766">
        <f t="shared" si="17"/>
        <v>958.28708348749888</v>
      </c>
      <c r="AT28" s="766">
        <f t="shared" si="18"/>
        <v>737</v>
      </c>
      <c r="AU28" s="766">
        <f t="shared" si="19"/>
        <v>1</v>
      </c>
      <c r="AV28" s="766">
        <f t="shared" si="20"/>
        <v>737</v>
      </c>
      <c r="AW28" s="766">
        <f t="shared" si="21"/>
        <v>221.28708348749888</v>
      </c>
      <c r="AZ28" s="1583"/>
      <c r="BA28" s="1593"/>
      <c r="BB28" s="1583"/>
      <c r="BC28" s="1593"/>
      <c r="BD28" s="1595" t="s">
        <v>495</v>
      </c>
      <c r="BE28" s="774" t="s">
        <v>509</v>
      </c>
      <c r="BF28" s="765">
        <f t="shared" si="22"/>
        <v>3.297520714939247E-2</v>
      </c>
      <c r="BG28" s="781">
        <f t="shared" si="23"/>
        <v>221.28708348749888</v>
      </c>
      <c r="BH28" s="782">
        <f t="shared" si="24"/>
        <v>1</v>
      </c>
      <c r="BI28" s="783">
        <f t="shared" si="24"/>
        <v>221.28708348749888</v>
      </c>
      <c r="BJ28" s="782">
        <f t="shared" si="25"/>
        <v>7.2969874174851812</v>
      </c>
      <c r="BK28" s="782">
        <f t="shared" si="26"/>
        <v>7.2969874174851812</v>
      </c>
    </row>
    <row r="29" spans="1:63" ht="24.6" thickBot="1">
      <c r="A29" s="1782"/>
      <c r="B29" s="1748"/>
      <c r="C29" s="1748"/>
      <c r="D29" s="1748"/>
      <c r="E29" s="1741"/>
      <c r="F29" s="801" t="s">
        <v>511</v>
      </c>
      <c r="G29" s="728">
        <f>'Statewide Ref Dispostion'!AN23</f>
        <v>2.8933750518450236E-3</v>
      </c>
      <c r="H29" s="1292">
        <f>'Statewide Ref Dispostion'!AP23</f>
        <v>0.31005092682723129</v>
      </c>
      <c r="I29" s="130">
        <f t="shared" si="0"/>
        <v>958.28708348749888</v>
      </c>
      <c r="J29" s="870">
        <f t="shared" si="1"/>
        <v>69.951619189853531</v>
      </c>
      <c r="K29" s="122">
        <f>'Part KIU-KU'!O$25</f>
        <v>0.96779020000000004</v>
      </c>
      <c r="L29" s="860">
        <v>0</v>
      </c>
      <c r="M29" s="126">
        <f t="shared" si="2"/>
        <v>927.42084818578326</v>
      </c>
      <c r="N29" s="864">
        <f t="shared" si="4"/>
        <v>67.698491526072189</v>
      </c>
      <c r="O29" s="126">
        <v>0</v>
      </c>
      <c r="P29" s="864"/>
      <c r="Q29" s="121">
        <f>'Part KIU-KU'!O$25</f>
        <v>0.96779020000000004</v>
      </c>
      <c r="R29" s="860">
        <v>0</v>
      </c>
      <c r="S29" s="126">
        <f t="shared" si="5"/>
        <v>0</v>
      </c>
      <c r="T29" s="341">
        <f t="shared" si="6"/>
        <v>0</v>
      </c>
      <c r="U29" s="849">
        <f t="shared" si="7"/>
        <v>927.42084818578326</v>
      </c>
      <c r="V29" s="890">
        <f t="shared" si="8"/>
        <v>67.698491526072189</v>
      </c>
      <c r="W29" s="149">
        <v>1</v>
      </c>
      <c r="X29" s="144">
        <f>U29*W29</f>
        <v>927.42084818578326</v>
      </c>
      <c r="Y29" s="890">
        <f t="shared" si="10"/>
        <v>67.698491526072189</v>
      </c>
      <c r="Z29" s="849">
        <f>U29*G29</f>
        <v>2.6833763447016965</v>
      </c>
      <c r="AA29" s="890">
        <f t="shared" si="12"/>
        <v>2.9654644920285245</v>
      </c>
      <c r="AB29" s="849">
        <f>X29*G29</f>
        <v>2.6833763447016965</v>
      </c>
      <c r="AC29" s="890">
        <f t="shared" si="13"/>
        <v>2.8821407763348716</v>
      </c>
      <c r="AD29" s="854">
        <f t="shared" si="28"/>
        <v>1</v>
      </c>
      <c r="AE29" s="895">
        <f t="shared" si="27"/>
        <v>1.5410812942972578</v>
      </c>
      <c r="AJ29" s="1583"/>
      <c r="AK29" s="1593"/>
      <c r="AL29" s="1583"/>
      <c r="AM29" s="1594"/>
      <c r="AN29" s="1596"/>
      <c r="AO29" s="774" t="s">
        <v>511</v>
      </c>
      <c r="AP29" s="765">
        <f t="shared" si="14"/>
        <v>2.8933750518450236E-3</v>
      </c>
      <c r="AQ29" s="766">
        <f t="shared" si="15"/>
        <v>958.28708348749888</v>
      </c>
      <c r="AR29" s="767">
        <f t="shared" si="16"/>
        <v>0.96779020000000004</v>
      </c>
      <c r="AS29" s="766">
        <f t="shared" si="17"/>
        <v>927.42084818578326</v>
      </c>
      <c r="AT29" s="766">
        <f t="shared" si="18"/>
        <v>0</v>
      </c>
      <c r="AU29" s="766">
        <f t="shared" si="19"/>
        <v>0.96779020000000004</v>
      </c>
      <c r="AV29" s="766">
        <f t="shared" si="20"/>
        <v>0</v>
      </c>
      <c r="AW29" s="766">
        <f t="shared" si="21"/>
        <v>927.42084818578326</v>
      </c>
      <c r="AZ29" s="1583"/>
      <c r="BA29" s="1593"/>
      <c r="BB29" s="1583"/>
      <c r="BC29" s="1594"/>
      <c r="BD29" s="1596"/>
      <c r="BE29" s="774" t="s">
        <v>511</v>
      </c>
      <c r="BF29" s="765">
        <f t="shared" si="22"/>
        <v>2.8933750518450236E-3</v>
      </c>
      <c r="BG29" s="781">
        <f t="shared" si="23"/>
        <v>927.42084818578326</v>
      </c>
      <c r="BH29" s="782">
        <f t="shared" si="24"/>
        <v>1</v>
      </c>
      <c r="BI29" s="783">
        <f t="shared" si="24"/>
        <v>927.42084818578326</v>
      </c>
      <c r="BJ29" s="782">
        <f t="shared" si="25"/>
        <v>2.6833763447016965</v>
      </c>
      <c r="BK29" s="782">
        <f t="shared" si="26"/>
        <v>2.6833763447016965</v>
      </c>
    </row>
    <row r="30" spans="1:63" ht="15.6" thickBot="1">
      <c r="A30" s="1782"/>
      <c r="B30" s="1748"/>
      <c r="C30" s="1748"/>
      <c r="D30" s="1788" t="s">
        <v>343</v>
      </c>
      <c r="E30" s="1783" t="s">
        <v>345</v>
      </c>
      <c r="F30" s="1783"/>
      <c r="G30" s="730">
        <f>'Statewide Ref Dispostion'!AN24</f>
        <v>9.318003797670742E-3</v>
      </c>
      <c r="H30" s="1293">
        <f>'Statewide Ref Dispostion'!AP24</f>
        <v>0.77282016983257151</v>
      </c>
      <c r="I30" s="128">
        <f t="shared" si="0"/>
        <v>958.28708348749888</v>
      </c>
      <c r="J30" s="868">
        <f t="shared" si="1"/>
        <v>69.951619189853531</v>
      </c>
      <c r="K30" s="120">
        <f>'Part KIU-KU'!O$25</f>
        <v>0.96779020000000004</v>
      </c>
      <c r="L30" s="858">
        <f>'Part KIU-KU'!Q$25</f>
        <v>1.12687E-2</v>
      </c>
      <c r="M30" s="124">
        <f t="shared" si="2"/>
        <v>927.42084818578326</v>
      </c>
      <c r="N30" s="862">
        <f t="shared" si="4"/>
        <v>67.698577651152391</v>
      </c>
      <c r="O30" s="124">
        <f>$G$7</f>
        <v>635</v>
      </c>
      <c r="P30" s="862">
        <f>$H$7</f>
        <v>84</v>
      </c>
      <c r="Q30" s="120">
        <f>'Part KIU-KU'!O$25</f>
        <v>0.96779020000000004</v>
      </c>
      <c r="R30" s="858">
        <f>'Part KIU-KU'!J$25</f>
        <v>3.5229200000000002E-2</v>
      </c>
      <c r="S30" s="124">
        <f t="shared" si="5"/>
        <v>614.54677700000002</v>
      </c>
      <c r="T30" s="339">
        <f t="shared" si="6"/>
        <v>81.294684595090942</v>
      </c>
      <c r="U30" s="847">
        <f t="shared" si="7"/>
        <v>312.87407118578324</v>
      </c>
      <c r="V30" s="886">
        <f t="shared" si="8"/>
        <v>105.79188607546624</v>
      </c>
      <c r="W30" s="141">
        <v>1</v>
      </c>
      <c r="X30" s="140">
        <f t="shared" si="9"/>
        <v>312.87407118578324</v>
      </c>
      <c r="Y30" s="886">
        <f t="shared" si="10"/>
        <v>105.79188607546624</v>
      </c>
      <c r="Z30" s="847">
        <f t="shared" si="11"/>
        <v>2.9153617835018344</v>
      </c>
      <c r="AA30" s="886">
        <f t="shared" si="12"/>
        <v>2.9530281138819361</v>
      </c>
      <c r="AB30" s="847">
        <f t="shared" si="3"/>
        <v>2.9153617835018344</v>
      </c>
      <c r="AC30" s="886">
        <f t="shared" si="13"/>
        <v>2.6111763838519093</v>
      </c>
      <c r="AD30" s="852">
        <f t="shared" si="28"/>
        <v>1</v>
      </c>
      <c r="AE30" s="892">
        <f t="shared" si="27"/>
        <v>1.3521152987615705</v>
      </c>
      <c r="AJ30" s="1583"/>
      <c r="AK30" s="1593"/>
      <c r="AL30" s="1583"/>
      <c r="AM30" s="1597" t="s">
        <v>343</v>
      </c>
      <c r="AN30" s="1600" t="s">
        <v>345</v>
      </c>
      <c r="AO30" s="1601"/>
      <c r="AP30" s="765">
        <f t="shared" si="14"/>
        <v>9.318003797670742E-3</v>
      </c>
      <c r="AQ30" s="766">
        <f t="shared" si="15"/>
        <v>958.28708348749888</v>
      </c>
      <c r="AR30" s="767">
        <f t="shared" si="16"/>
        <v>0.96779020000000004</v>
      </c>
      <c r="AS30" s="766">
        <f t="shared" si="17"/>
        <v>927.42084818578326</v>
      </c>
      <c r="AT30" s="766">
        <f t="shared" si="18"/>
        <v>635</v>
      </c>
      <c r="AU30" s="766">
        <f t="shared" si="19"/>
        <v>0.96779020000000004</v>
      </c>
      <c r="AV30" s="766">
        <f t="shared" si="20"/>
        <v>614.54677700000002</v>
      </c>
      <c r="AW30" s="766">
        <f t="shared" si="21"/>
        <v>312.87407118578324</v>
      </c>
      <c r="AZ30" s="1583"/>
      <c r="BA30" s="1593"/>
      <c r="BB30" s="1583"/>
      <c r="BC30" s="1597" t="s">
        <v>343</v>
      </c>
      <c r="BD30" s="1600" t="s">
        <v>345</v>
      </c>
      <c r="BE30" s="1601"/>
      <c r="BF30" s="765">
        <f t="shared" si="22"/>
        <v>9.318003797670742E-3</v>
      </c>
      <c r="BG30" s="781">
        <f t="shared" si="23"/>
        <v>312.87407118578324</v>
      </c>
      <c r="BH30" s="782">
        <f t="shared" si="24"/>
        <v>1</v>
      </c>
      <c r="BI30" s="783">
        <f t="shared" si="24"/>
        <v>312.87407118578324</v>
      </c>
      <c r="BJ30" s="782">
        <f t="shared" si="25"/>
        <v>2.9153617835018344</v>
      </c>
      <c r="BK30" s="782">
        <f t="shared" si="26"/>
        <v>2.9153617835018344</v>
      </c>
    </row>
    <row r="31" spans="1:63" ht="15" thickBot="1">
      <c r="A31" s="1782"/>
      <c r="B31" s="1748"/>
      <c r="C31" s="1748"/>
      <c r="D31" s="1788"/>
      <c r="E31" s="1783" t="s">
        <v>346</v>
      </c>
      <c r="F31" s="1783"/>
      <c r="G31" s="731">
        <f>'Statewide Ref Dispostion'!AN25</f>
        <v>5.3098210650899032E-3</v>
      </c>
      <c r="H31" s="1293">
        <f>'Statewide Ref Dispostion'!AP25</f>
        <v>0.47994651336711391</v>
      </c>
      <c r="I31" s="129">
        <f t="shared" si="0"/>
        <v>958.28708348749888</v>
      </c>
      <c r="J31" s="869">
        <f t="shared" si="1"/>
        <v>69.951619189853531</v>
      </c>
      <c r="K31" s="119">
        <f>'Part KIU-KU'!O$25</f>
        <v>0.96779020000000004</v>
      </c>
      <c r="L31" s="859">
        <f>'Part KIU-KU'!Q$25</f>
        <v>1.12687E-2</v>
      </c>
      <c r="M31" s="125">
        <f t="shared" si="2"/>
        <v>927.42084818578326</v>
      </c>
      <c r="N31" s="863">
        <f t="shared" si="4"/>
        <v>67.698577651152391</v>
      </c>
      <c r="O31" s="422">
        <f>G8</f>
        <v>452</v>
      </c>
      <c r="P31" s="866"/>
      <c r="Q31" s="119">
        <f>'Part KIU-KU'!O$25</f>
        <v>0.96779020000000004</v>
      </c>
      <c r="R31" s="859">
        <f>'Part KIU-KU'!J$25</f>
        <v>3.5229200000000002E-2</v>
      </c>
      <c r="S31" s="125">
        <f t="shared" si="5"/>
        <v>437.44117040000003</v>
      </c>
      <c r="T31" s="340">
        <f t="shared" si="6"/>
        <v>0.15923598400000002</v>
      </c>
      <c r="U31" s="850">
        <f t="shared" si="7"/>
        <v>489.97967778578322</v>
      </c>
      <c r="V31" s="889">
        <f t="shared" si="8"/>
        <v>67.698764922912076</v>
      </c>
      <c r="W31" s="148">
        <v>1</v>
      </c>
      <c r="X31" s="147">
        <f t="shared" si="9"/>
        <v>489.97967778578322</v>
      </c>
      <c r="Y31" s="889">
        <f t="shared" si="10"/>
        <v>67.698764922912076</v>
      </c>
      <c r="Z31" s="850">
        <f t="shared" si="11"/>
        <v>2.6017044145729149</v>
      </c>
      <c r="AA31" s="889">
        <f t="shared" si="12"/>
        <v>2.5427235027936761</v>
      </c>
      <c r="AB31" s="850">
        <f t="shared" si="3"/>
        <v>2.6017044145729149</v>
      </c>
      <c r="AC31" s="889">
        <f t="shared" si="13"/>
        <v>2.3789556436615662</v>
      </c>
      <c r="AD31" s="853">
        <f t="shared" si="28"/>
        <v>1</v>
      </c>
      <c r="AE31" s="894">
        <f t="shared" si="27"/>
        <v>1.3383837072460969</v>
      </c>
      <c r="AJ31" s="1583"/>
      <c r="AK31" s="1593"/>
      <c r="AL31" s="1583"/>
      <c r="AM31" s="1598"/>
      <c r="AN31" s="1587" t="s">
        <v>346</v>
      </c>
      <c r="AO31" s="1587"/>
      <c r="AP31" s="765">
        <f t="shared" si="14"/>
        <v>5.3098210650899032E-3</v>
      </c>
      <c r="AQ31" s="766">
        <f t="shared" si="15"/>
        <v>958.28708348749888</v>
      </c>
      <c r="AR31" s="767">
        <f t="shared" si="16"/>
        <v>0.96779020000000004</v>
      </c>
      <c r="AS31" s="766">
        <f t="shared" si="17"/>
        <v>927.42084818578326</v>
      </c>
      <c r="AT31" s="766">
        <f t="shared" si="18"/>
        <v>452</v>
      </c>
      <c r="AU31" s="766">
        <f t="shared" si="19"/>
        <v>0.96779020000000004</v>
      </c>
      <c r="AV31" s="766">
        <f t="shared" si="20"/>
        <v>437.44117040000003</v>
      </c>
      <c r="AW31" s="766">
        <f t="shared" si="21"/>
        <v>489.97967778578322</v>
      </c>
      <c r="AZ31" s="1583"/>
      <c r="BA31" s="1593"/>
      <c r="BB31" s="1583"/>
      <c r="BC31" s="1598"/>
      <c r="BD31" s="1587" t="s">
        <v>346</v>
      </c>
      <c r="BE31" s="1587"/>
      <c r="BF31" s="765">
        <f t="shared" si="22"/>
        <v>5.3098210650899032E-3</v>
      </c>
      <c r="BG31" s="781">
        <f t="shared" si="23"/>
        <v>489.97967778578322</v>
      </c>
      <c r="BH31" s="782">
        <f t="shared" si="24"/>
        <v>1</v>
      </c>
      <c r="BI31" s="783">
        <f t="shared" si="24"/>
        <v>489.97967778578322</v>
      </c>
      <c r="BJ31" s="782">
        <f t="shared" si="25"/>
        <v>2.6017044145729149</v>
      </c>
      <c r="BK31" s="782">
        <f t="shared" si="26"/>
        <v>2.6017044145729149</v>
      </c>
    </row>
    <row r="32" spans="1:63" ht="15" thickBot="1">
      <c r="A32" s="1782"/>
      <c r="B32" s="1748"/>
      <c r="C32" s="1748"/>
      <c r="D32" s="1788"/>
      <c r="E32" s="1783" t="s">
        <v>347</v>
      </c>
      <c r="F32" s="1783"/>
      <c r="G32" s="732">
        <f>'Statewide Ref Dispostion'!AN26</f>
        <v>1.1841082338023101E-3</v>
      </c>
      <c r="H32" s="1293">
        <f>'Statewide Ref Dispostion'!AP26</f>
        <v>0.15243155333857014</v>
      </c>
      <c r="I32" s="130">
        <f t="shared" si="0"/>
        <v>958.28708348749888</v>
      </c>
      <c r="J32" s="870">
        <f t="shared" si="1"/>
        <v>69.951619189853531</v>
      </c>
      <c r="K32" s="122">
        <f>'Part KIU-KU'!O$25</f>
        <v>0.96779020000000004</v>
      </c>
      <c r="L32" s="860">
        <f>'Part KIU-KU'!Q$25</f>
        <v>1.12687E-2</v>
      </c>
      <c r="M32" s="126">
        <f t="shared" si="2"/>
        <v>927.42084818578326</v>
      </c>
      <c r="N32" s="864">
        <f t="shared" si="4"/>
        <v>67.698577651152391</v>
      </c>
      <c r="O32" s="126">
        <v>0</v>
      </c>
      <c r="P32" s="864"/>
      <c r="Q32" s="122">
        <f>'Part KIU-KU'!O$25</f>
        <v>0.96779020000000004</v>
      </c>
      <c r="R32" s="860">
        <f>'Part KIU-KU'!J$25</f>
        <v>3.5229200000000002E-2</v>
      </c>
      <c r="S32" s="126">
        <f t="shared" si="5"/>
        <v>0</v>
      </c>
      <c r="T32" s="341">
        <f t="shared" si="6"/>
        <v>0</v>
      </c>
      <c r="U32" s="849">
        <f t="shared" si="7"/>
        <v>927.42084818578326</v>
      </c>
      <c r="V32" s="890">
        <f t="shared" si="8"/>
        <v>67.698577651152391</v>
      </c>
      <c r="W32" s="149">
        <v>1</v>
      </c>
      <c r="X32" s="144">
        <f t="shared" si="9"/>
        <v>927.42084818578326</v>
      </c>
      <c r="Y32" s="890">
        <f t="shared" si="10"/>
        <v>67.698577651152391</v>
      </c>
      <c r="Z32" s="849">
        <f t="shared" si="11"/>
        <v>1.0981666625367081</v>
      </c>
      <c r="AA32" s="890">
        <f t="shared" si="12"/>
        <v>1.4444820987581755</v>
      </c>
      <c r="AB32" s="849">
        <f t="shared" si="3"/>
        <v>1.0981666625367081</v>
      </c>
      <c r="AC32" s="890">
        <f t="shared" si="13"/>
        <v>1.4159529752821187</v>
      </c>
      <c r="AD32" s="854">
        <f t="shared" si="28"/>
        <v>1</v>
      </c>
      <c r="AE32" s="895">
        <f t="shared" si="27"/>
        <v>1.8419186312193641</v>
      </c>
      <c r="AJ32" s="1583"/>
      <c r="AK32" s="1593"/>
      <c r="AL32" s="1583"/>
      <c r="AM32" s="1599"/>
      <c r="AN32" s="1587" t="s">
        <v>347</v>
      </c>
      <c r="AO32" s="1587"/>
      <c r="AP32" s="765">
        <f t="shared" si="14"/>
        <v>1.1841082338023101E-3</v>
      </c>
      <c r="AQ32" s="766">
        <f t="shared" si="15"/>
        <v>958.28708348749888</v>
      </c>
      <c r="AR32" s="767">
        <f t="shared" si="16"/>
        <v>0.96779020000000004</v>
      </c>
      <c r="AS32" s="766">
        <f t="shared" si="17"/>
        <v>927.42084818578326</v>
      </c>
      <c r="AT32" s="766">
        <f t="shared" si="18"/>
        <v>0</v>
      </c>
      <c r="AU32" s="766">
        <f t="shared" si="19"/>
        <v>0.96779020000000004</v>
      </c>
      <c r="AV32" s="766">
        <f t="shared" si="20"/>
        <v>0</v>
      </c>
      <c r="AW32" s="766">
        <f t="shared" si="21"/>
        <v>927.42084818578326</v>
      </c>
      <c r="AZ32" s="1583"/>
      <c r="BA32" s="1593"/>
      <c r="BB32" s="1583"/>
      <c r="BC32" s="1599"/>
      <c r="BD32" s="1587" t="s">
        <v>347</v>
      </c>
      <c r="BE32" s="1587"/>
      <c r="BF32" s="765">
        <f t="shared" si="22"/>
        <v>1.1841082338023101E-3</v>
      </c>
      <c r="BG32" s="781">
        <f t="shared" si="23"/>
        <v>927.42084818578326</v>
      </c>
      <c r="BH32" s="782">
        <f t="shared" si="24"/>
        <v>1</v>
      </c>
      <c r="BI32" s="783">
        <f t="shared" si="24"/>
        <v>927.42084818578326</v>
      </c>
      <c r="BJ32" s="782">
        <f t="shared" si="25"/>
        <v>1.0981666625367081</v>
      </c>
      <c r="BK32" s="782">
        <f t="shared" si="26"/>
        <v>1.0981666625367081</v>
      </c>
    </row>
    <row r="33" spans="1:63" ht="15" thickBot="1">
      <c r="A33" s="1782"/>
      <c r="B33" s="1748"/>
      <c r="C33" s="1784" t="s">
        <v>342</v>
      </c>
      <c r="D33" s="1781" t="s">
        <v>349</v>
      </c>
      <c r="E33" s="1781"/>
      <c r="F33" s="1781"/>
      <c r="G33" s="733">
        <f>'Statewide Ref Dispostion'!AN27</f>
        <v>1.105280935239851E-2</v>
      </c>
      <c r="H33" s="1294">
        <f>'Statewide Ref Dispostion'!AP27</f>
        <v>0.86811967799163647</v>
      </c>
      <c r="I33" s="128">
        <f t="shared" si="0"/>
        <v>958.28708348749888</v>
      </c>
      <c r="J33" s="868">
        <f t="shared" si="1"/>
        <v>69.951619189853531</v>
      </c>
      <c r="K33" s="120">
        <v>1</v>
      </c>
      <c r="L33" s="858">
        <v>0</v>
      </c>
      <c r="M33" s="124">
        <f t="shared" si="2"/>
        <v>958.28708348749888</v>
      </c>
      <c r="N33" s="862">
        <f t="shared" si="4"/>
        <v>69.951619189853531</v>
      </c>
      <c r="O33" s="124">
        <f>$G$7</f>
        <v>635</v>
      </c>
      <c r="P33" s="862">
        <f>$H$7</f>
        <v>84</v>
      </c>
      <c r="Q33" s="521">
        <v>1</v>
      </c>
      <c r="R33" s="858">
        <v>0</v>
      </c>
      <c r="S33" s="124">
        <f t="shared" si="5"/>
        <v>635</v>
      </c>
      <c r="T33" s="339">
        <f t="shared" si="6"/>
        <v>84</v>
      </c>
      <c r="U33" s="847">
        <f t="shared" si="7"/>
        <v>323.28708348749888</v>
      </c>
      <c r="V33" s="886">
        <f t="shared" si="8"/>
        <v>109.31252914136735</v>
      </c>
      <c r="W33" s="141">
        <v>1</v>
      </c>
      <c r="X33" s="140">
        <f t="shared" si="9"/>
        <v>323.28708348749888</v>
      </c>
      <c r="Y33" s="886">
        <f t="shared" si="10"/>
        <v>109.31252914136735</v>
      </c>
      <c r="Z33" s="847">
        <f t="shared" si="11"/>
        <v>3.5732304998802653</v>
      </c>
      <c r="AA33" s="886">
        <f t="shared" si="12"/>
        <v>3.4919568261826446</v>
      </c>
      <c r="AB33" s="847">
        <f t="shared" si="3"/>
        <v>3.5732304998802653</v>
      </c>
      <c r="AC33" s="886">
        <f t="shared" si="13"/>
        <v>3.0555393023103883</v>
      </c>
      <c r="AD33" s="852">
        <f t="shared" si="28"/>
        <v>1</v>
      </c>
      <c r="AE33" s="892">
        <f t="shared" si="27"/>
        <v>1.2985593951804906</v>
      </c>
      <c r="AJ33" s="1583"/>
      <c r="AK33" s="1593"/>
      <c r="AL33" s="1583" t="s">
        <v>342</v>
      </c>
      <c r="AM33" s="1584" t="s">
        <v>349</v>
      </c>
      <c r="AN33" s="1585"/>
      <c r="AO33" s="1586"/>
      <c r="AP33" s="765">
        <f t="shared" si="14"/>
        <v>1.105280935239851E-2</v>
      </c>
      <c r="AQ33" s="766">
        <f t="shared" si="15"/>
        <v>958.28708348749888</v>
      </c>
      <c r="AR33" s="767">
        <f t="shared" si="16"/>
        <v>1</v>
      </c>
      <c r="AS33" s="766">
        <f t="shared" si="17"/>
        <v>958.28708348749888</v>
      </c>
      <c r="AT33" s="766">
        <f t="shared" si="18"/>
        <v>635</v>
      </c>
      <c r="AU33" s="766">
        <f t="shared" si="19"/>
        <v>1</v>
      </c>
      <c r="AV33" s="766">
        <f t="shared" si="20"/>
        <v>635</v>
      </c>
      <c r="AW33" s="766">
        <f t="shared" si="21"/>
        <v>323.28708348749888</v>
      </c>
      <c r="AZ33" s="1583"/>
      <c r="BA33" s="1593"/>
      <c r="BB33" s="1583" t="s">
        <v>342</v>
      </c>
      <c r="BC33" s="1584" t="s">
        <v>349</v>
      </c>
      <c r="BD33" s="1585"/>
      <c r="BE33" s="1586"/>
      <c r="BF33" s="765">
        <f t="shared" si="22"/>
        <v>1.105280935239851E-2</v>
      </c>
      <c r="BG33" s="781">
        <f t="shared" si="23"/>
        <v>323.28708348749888</v>
      </c>
      <c r="BH33" s="782">
        <f t="shared" si="24"/>
        <v>1</v>
      </c>
      <c r="BI33" s="783">
        <f t="shared" si="24"/>
        <v>323.28708348749888</v>
      </c>
      <c r="BJ33" s="782">
        <f t="shared" si="25"/>
        <v>3.5732304998802653</v>
      </c>
      <c r="BK33" s="782">
        <f t="shared" si="26"/>
        <v>3.5732304998802653</v>
      </c>
    </row>
    <row r="34" spans="1:63" ht="15" thickBot="1">
      <c r="A34" s="1782"/>
      <c r="B34" s="1748"/>
      <c r="C34" s="1784"/>
      <c r="D34" s="1781" t="s">
        <v>350</v>
      </c>
      <c r="E34" s="1781"/>
      <c r="F34" s="1781"/>
      <c r="G34" s="733">
        <f>'Statewide Ref Dispostion'!AN28</f>
        <v>5.6345838280219213E-3</v>
      </c>
      <c r="H34" s="1294">
        <f>'Statewide Ref Dispostion'!AP28</f>
        <v>0.44255654308719217</v>
      </c>
      <c r="I34" s="129">
        <f t="shared" si="0"/>
        <v>958.28708348749888</v>
      </c>
      <c r="J34" s="869">
        <f t="shared" si="1"/>
        <v>69.951619189853531</v>
      </c>
      <c r="K34" s="119">
        <v>1</v>
      </c>
      <c r="L34" s="859">
        <v>0</v>
      </c>
      <c r="M34" s="125">
        <f t="shared" si="2"/>
        <v>958.28708348749888</v>
      </c>
      <c r="N34" s="863">
        <f t="shared" si="4"/>
        <v>69.951619189853531</v>
      </c>
      <c r="O34" s="125">
        <f>$G$7</f>
        <v>635</v>
      </c>
      <c r="P34" s="863">
        <f>$H$7</f>
        <v>84</v>
      </c>
      <c r="Q34" s="522">
        <v>1</v>
      </c>
      <c r="R34" s="859">
        <v>0</v>
      </c>
      <c r="S34" s="125">
        <f t="shared" si="5"/>
        <v>635</v>
      </c>
      <c r="T34" s="340">
        <f t="shared" si="6"/>
        <v>84</v>
      </c>
      <c r="U34" s="850">
        <f t="shared" si="7"/>
        <v>323.28708348749888</v>
      </c>
      <c r="V34" s="889">
        <f t="shared" si="8"/>
        <v>109.31252914136735</v>
      </c>
      <c r="W34" s="148">
        <v>1</v>
      </c>
      <c r="X34" s="147">
        <f t="shared" si="9"/>
        <v>323.28708348749888</v>
      </c>
      <c r="Y34" s="889">
        <f t="shared" si="10"/>
        <v>109.31252914136735</v>
      </c>
      <c r="Z34" s="850">
        <f t="shared" si="11"/>
        <v>1.821588172427034</v>
      </c>
      <c r="AA34" s="889">
        <f t="shared" si="12"/>
        <v>1.7801558711125116</v>
      </c>
      <c r="AB34" s="850">
        <f t="shared" si="3"/>
        <v>1.821588172427034</v>
      </c>
      <c r="AC34" s="889">
        <f t="shared" si="13"/>
        <v>1.5576756813368358</v>
      </c>
      <c r="AD34" s="853">
        <f t="shared" si="28"/>
        <v>1</v>
      </c>
      <c r="AE34" s="894">
        <f t="shared" si="27"/>
        <v>1.2985593951804906</v>
      </c>
      <c r="AJ34" s="1583"/>
      <c r="AK34" s="1593"/>
      <c r="AL34" s="1583"/>
      <c r="AM34" s="1575" t="s">
        <v>350</v>
      </c>
      <c r="AN34" s="1575"/>
      <c r="AO34" s="1575"/>
      <c r="AP34" s="765">
        <f t="shared" si="14"/>
        <v>5.6345838280219213E-3</v>
      </c>
      <c r="AQ34" s="766">
        <f t="shared" si="15"/>
        <v>958.28708348749888</v>
      </c>
      <c r="AR34" s="767">
        <f t="shared" si="16"/>
        <v>1</v>
      </c>
      <c r="AS34" s="766">
        <f t="shared" si="17"/>
        <v>958.28708348749888</v>
      </c>
      <c r="AT34" s="766">
        <f t="shared" si="18"/>
        <v>635</v>
      </c>
      <c r="AU34" s="766">
        <f t="shared" si="19"/>
        <v>1</v>
      </c>
      <c r="AV34" s="766">
        <f t="shared" si="20"/>
        <v>635</v>
      </c>
      <c r="AW34" s="766">
        <f t="shared" si="21"/>
        <v>323.28708348749888</v>
      </c>
      <c r="AZ34" s="1583"/>
      <c r="BA34" s="1593"/>
      <c r="BB34" s="1583"/>
      <c r="BC34" s="1575" t="s">
        <v>350</v>
      </c>
      <c r="BD34" s="1575"/>
      <c r="BE34" s="1575"/>
      <c r="BF34" s="765">
        <f t="shared" si="22"/>
        <v>5.6345838280219213E-3</v>
      </c>
      <c r="BG34" s="781">
        <f t="shared" si="23"/>
        <v>323.28708348749888</v>
      </c>
      <c r="BH34" s="782">
        <f t="shared" si="24"/>
        <v>1</v>
      </c>
      <c r="BI34" s="783">
        <f t="shared" si="24"/>
        <v>323.28708348749888</v>
      </c>
      <c r="BJ34" s="782">
        <f t="shared" si="25"/>
        <v>1.821588172427034</v>
      </c>
      <c r="BK34" s="782">
        <f t="shared" si="26"/>
        <v>1.821588172427034</v>
      </c>
    </row>
    <row r="35" spans="1:63" ht="15" thickBot="1">
      <c r="A35" s="1782"/>
      <c r="B35" s="1748"/>
      <c r="C35" s="1784"/>
      <c r="D35" s="1781" t="s">
        <v>57</v>
      </c>
      <c r="E35" s="1781"/>
      <c r="F35" s="1781"/>
      <c r="G35" s="733">
        <f>'Statewide Ref Dispostion'!AN29</f>
        <v>6.6700356800320753E-3</v>
      </c>
      <c r="H35" s="1294">
        <f>'Statewide Ref Dispostion'!AP29</f>
        <v>0.52388393232220454</v>
      </c>
      <c r="I35" s="129">
        <f t="shared" si="0"/>
        <v>958.28708348749888</v>
      </c>
      <c r="J35" s="869">
        <f t="shared" si="1"/>
        <v>69.951619189853531</v>
      </c>
      <c r="K35" s="119">
        <v>1</v>
      </c>
      <c r="L35" s="859">
        <v>0</v>
      </c>
      <c r="M35" s="125">
        <f t="shared" si="2"/>
        <v>958.28708348749888</v>
      </c>
      <c r="N35" s="863">
        <f t="shared" si="4"/>
        <v>69.951619189853531</v>
      </c>
      <c r="O35" s="125">
        <f>$G$7</f>
        <v>635</v>
      </c>
      <c r="P35" s="863">
        <f>$H$7</f>
        <v>84</v>
      </c>
      <c r="Q35" s="522">
        <v>1</v>
      </c>
      <c r="R35" s="859">
        <v>0</v>
      </c>
      <c r="S35" s="125">
        <f t="shared" si="5"/>
        <v>635</v>
      </c>
      <c r="T35" s="340">
        <f t="shared" si="6"/>
        <v>84</v>
      </c>
      <c r="U35" s="850">
        <f t="shared" si="7"/>
        <v>323.28708348749888</v>
      </c>
      <c r="V35" s="889">
        <f t="shared" si="8"/>
        <v>109.31252914136735</v>
      </c>
      <c r="W35" s="148">
        <v>1</v>
      </c>
      <c r="X35" s="147">
        <f t="shared" si="9"/>
        <v>323.28708348749888</v>
      </c>
      <c r="Y35" s="889">
        <f t="shared" si="10"/>
        <v>109.31252914136735</v>
      </c>
      <c r="Z35" s="850">
        <f t="shared" si="11"/>
        <v>2.1563363817551258</v>
      </c>
      <c r="AA35" s="889">
        <f t="shared" si="12"/>
        <v>2.1072901812710128</v>
      </c>
      <c r="AB35" s="850">
        <f t="shared" si="3"/>
        <v>2.1563363817551258</v>
      </c>
      <c r="AC35" s="889">
        <f t="shared" si="13"/>
        <v>1.8439254236958253</v>
      </c>
      <c r="AD35" s="853">
        <f t="shared" si="28"/>
        <v>1</v>
      </c>
      <c r="AE35" s="894">
        <f t="shared" si="27"/>
        <v>1.2985593951804906</v>
      </c>
      <c r="AJ35" s="1583"/>
      <c r="AK35" s="1593"/>
      <c r="AL35" s="1583"/>
      <c r="AM35" s="1575" t="s">
        <v>57</v>
      </c>
      <c r="AN35" s="1575"/>
      <c r="AO35" s="1575"/>
      <c r="AP35" s="765">
        <f t="shared" si="14"/>
        <v>6.6700356800320753E-3</v>
      </c>
      <c r="AQ35" s="766">
        <f t="shared" si="15"/>
        <v>958.28708348749888</v>
      </c>
      <c r="AR35" s="767">
        <f t="shared" si="16"/>
        <v>1</v>
      </c>
      <c r="AS35" s="766">
        <f t="shared" si="17"/>
        <v>958.28708348749888</v>
      </c>
      <c r="AT35" s="766">
        <f t="shared" si="18"/>
        <v>635</v>
      </c>
      <c r="AU35" s="766">
        <f t="shared" si="19"/>
        <v>1</v>
      </c>
      <c r="AV35" s="766">
        <f t="shared" si="20"/>
        <v>635</v>
      </c>
      <c r="AW35" s="766">
        <f t="shared" si="21"/>
        <v>323.28708348749888</v>
      </c>
      <c r="AZ35" s="1583"/>
      <c r="BA35" s="1593"/>
      <c r="BB35" s="1583"/>
      <c r="BC35" s="1575" t="s">
        <v>57</v>
      </c>
      <c r="BD35" s="1575"/>
      <c r="BE35" s="1575"/>
      <c r="BF35" s="765">
        <f t="shared" si="22"/>
        <v>6.6700356800320753E-3</v>
      </c>
      <c r="BG35" s="781">
        <f t="shared" si="23"/>
        <v>323.28708348749888</v>
      </c>
      <c r="BH35" s="782">
        <f t="shared" si="24"/>
        <v>1</v>
      </c>
      <c r="BI35" s="783">
        <f t="shared" si="24"/>
        <v>323.28708348749888</v>
      </c>
      <c r="BJ35" s="782">
        <f t="shared" si="25"/>
        <v>2.1563363817551258</v>
      </c>
      <c r="BK35" s="782">
        <f t="shared" si="26"/>
        <v>2.1563363817551258</v>
      </c>
    </row>
    <row r="36" spans="1:63" ht="15" thickBot="1">
      <c r="A36" s="1782"/>
      <c r="B36" s="1748"/>
      <c r="C36" s="1780" t="s">
        <v>266</v>
      </c>
      <c r="D36" s="1780"/>
      <c r="E36" s="1780"/>
      <c r="F36" s="1780"/>
      <c r="G36" s="733">
        <f>'Statewide Ref Dispostion'!AN30</f>
        <v>0.11329664889249251</v>
      </c>
      <c r="H36" s="1294">
        <f>'Statewide Ref Dispostion'!AP30</f>
        <v>8.8986471419357827</v>
      </c>
      <c r="I36" s="130">
        <f t="shared" si="0"/>
        <v>958.28708348749888</v>
      </c>
      <c r="J36" s="870">
        <f t="shared" si="1"/>
        <v>69.951619189853531</v>
      </c>
      <c r="K36" s="122">
        <f>'Part KIU-KU'!O$25</f>
        <v>0.96779020000000004</v>
      </c>
      <c r="L36" s="860">
        <v>0</v>
      </c>
      <c r="M36" s="126">
        <v>954</v>
      </c>
      <c r="N36" s="864">
        <f t="shared" si="4"/>
        <v>69.63867702803158</v>
      </c>
      <c r="O36" s="126">
        <v>391</v>
      </c>
      <c r="P36" s="864"/>
      <c r="Q36" s="122">
        <f>SUMPRODUCT(Q17:Q35,H17:H35)/SUM(H17:H35)</f>
        <v>0.99386539898448878</v>
      </c>
      <c r="R36" s="860">
        <v>0</v>
      </c>
      <c r="S36" s="126">
        <v>390</v>
      </c>
      <c r="T36" s="341">
        <f t="shared" si="6"/>
        <v>0</v>
      </c>
      <c r="U36" s="849">
        <f t="shared" si="7"/>
        <v>564</v>
      </c>
      <c r="V36" s="890">
        <f t="shared" si="8"/>
        <v>69.63867702803158</v>
      </c>
      <c r="W36" s="149">
        <v>0</v>
      </c>
      <c r="X36" s="144">
        <f t="shared" si="9"/>
        <v>0</v>
      </c>
      <c r="Y36" s="890">
        <v>0</v>
      </c>
      <c r="Z36" s="849">
        <f t="shared" si="11"/>
        <v>63.899309975365775</v>
      </c>
      <c r="AA36" s="890">
        <f t="shared" si="12"/>
        <v>54.982061471089857</v>
      </c>
      <c r="AB36" s="849">
        <f t="shared" si="3"/>
        <v>0</v>
      </c>
      <c r="AC36" s="890">
        <f t="shared" si="13"/>
        <v>0</v>
      </c>
      <c r="AD36" s="854">
        <f t="shared" si="28"/>
        <v>0</v>
      </c>
      <c r="AE36" s="895">
        <f t="shared" si="27"/>
        <v>0</v>
      </c>
      <c r="AJ36" s="1583"/>
      <c r="AK36" s="1594"/>
      <c r="AL36" s="1587" t="s">
        <v>266</v>
      </c>
      <c r="AM36" s="1587"/>
      <c r="AN36" s="1587"/>
      <c r="AO36" s="1587"/>
      <c r="AP36" s="765">
        <f t="shared" si="14"/>
        <v>0.11329664889249251</v>
      </c>
      <c r="AQ36" s="766">
        <f t="shared" si="15"/>
        <v>958.28708348749888</v>
      </c>
      <c r="AR36" s="767">
        <f t="shared" si="16"/>
        <v>0.96779020000000004</v>
      </c>
      <c r="AS36" s="766">
        <f t="shared" si="17"/>
        <v>954</v>
      </c>
      <c r="AT36" s="766">
        <f t="shared" si="18"/>
        <v>391</v>
      </c>
      <c r="AU36" s="766">
        <f t="shared" si="19"/>
        <v>0.99386539898448878</v>
      </c>
      <c r="AV36" s="766">
        <f t="shared" si="20"/>
        <v>390</v>
      </c>
      <c r="AW36" s="766">
        <f t="shared" si="21"/>
        <v>564</v>
      </c>
      <c r="AZ36" s="1583"/>
      <c r="BA36" s="1594"/>
      <c r="BB36" s="1587" t="s">
        <v>266</v>
      </c>
      <c r="BC36" s="1587"/>
      <c r="BD36" s="1587"/>
      <c r="BE36" s="1587"/>
      <c r="BF36" s="765">
        <f t="shared" si="22"/>
        <v>0.11329664889249251</v>
      </c>
      <c r="BG36" s="781">
        <f t="shared" si="23"/>
        <v>564</v>
      </c>
      <c r="BH36" s="782">
        <f t="shared" si="24"/>
        <v>0</v>
      </c>
      <c r="BI36" s="783">
        <f t="shared" si="24"/>
        <v>0</v>
      </c>
      <c r="BJ36" s="782">
        <f t="shared" si="25"/>
        <v>63.899309975365775</v>
      </c>
      <c r="BK36" s="782">
        <f t="shared" si="26"/>
        <v>0</v>
      </c>
    </row>
    <row r="37" spans="1:63" ht="27" customHeight="1" thickBot="1">
      <c r="G37" s="419">
        <f>SUM(G14:G36)</f>
        <v>0.99446916635964477</v>
      </c>
      <c r="H37" s="867"/>
      <c r="I37" s="570">
        <f>SUMPRODUCT($G14:$G36,I14:I36)/SUM(G14:G36)</f>
        <v>958.28708348749876</v>
      </c>
      <c r="J37" s="867"/>
      <c r="K37" s="571">
        <f>SUMPRODUCT($G14:$G36,K14:K36)</f>
        <v>0.95454522356406535</v>
      </c>
      <c r="L37" s="867"/>
      <c r="M37" s="570">
        <f>SUMPRODUCT($G14:$G36,M14:M36)</f>
        <v>922.17992339126772</v>
      </c>
      <c r="N37" s="867"/>
      <c r="O37" s="570">
        <f>SUMPRODUCT($G14:$G36,O14:O36)</f>
        <v>557.93040594587467</v>
      </c>
      <c r="P37" s="867"/>
      <c r="Q37" s="571">
        <f>SUMPRODUCT($G14:$G36,Q14:Q36)</f>
        <v>0.83054794637932017</v>
      </c>
      <c r="R37" s="861"/>
      <c r="S37" s="570">
        <f>SUMPRODUCT($G14:$G36,S14:S36)</f>
        <v>403.51796071548949</v>
      </c>
      <c r="U37" s="855">
        <f>SUMPRODUCT($G14:$G36,U14:U36)</f>
        <v>518.661962675778</v>
      </c>
      <c r="V37" s="867"/>
      <c r="X37" s="570">
        <f>SUMPRODUCT($G14:$G36,X14:X36)</f>
        <v>352.3858461220122</v>
      </c>
      <c r="Y37" s="867"/>
      <c r="Z37" s="400">
        <f>SUM(Z14:Z36)</f>
        <v>518.661962675778</v>
      </c>
      <c r="AA37" s="891">
        <f>SQRT(AA14^2+AA15^2+AA16^2+AA17^2+AA18^2+AA19^2+AA20^2+AA22^2+AA23^2+AA24^2+AA25^2+AA26^2+AA27^2+AA28^2+AA30^2+AA31^2+AA32^2+AA33^2+AA34^2+AA35^2+AA36^2)</f>
        <v>97.389171451192738</v>
      </c>
      <c r="AB37" s="308">
        <f>SUM(AB14:AB36)</f>
        <v>352.3858461220122</v>
      </c>
      <c r="AC37" s="891">
        <f>SQRT(AC14^2+AC15^2+AC16^2+AC17^2+AC18^2+AC19^2+AC20^2+AC22^2+AC23^2+AC24^2+AC25^2+AC26^2+AC27^2+AC28^2+AC30^2+AC31^2+AC32^2+AC33^2+AC34^2+AC35^2+AC36^2)</f>
        <v>55.846678654585048</v>
      </c>
      <c r="AD37" s="309">
        <f>AB37/Z37</f>
        <v>0.67941332019809775</v>
      </c>
      <c r="AE37" s="896">
        <f>AD37*SQRT(IF(Z37&gt;0,(AA37/Z37)^2,0)+IF(AB37&gt;0,(AC37/AB37)^2,0))</f>
        <v>0.16693947967338779</v>
      </c>
      <c r="AJ37" s="1792" t="s">
        <v>533</v>
      </c>
      <c r="AK37" s="1793"/>
      <c r="AL37" s="1793"/>
      <c r="AM37" s="1793"/>
      <c r="AN37" s="1793"/>
      <c r="AO37" s="1793"/>
      <c r="AP37" s="1794"/>
      <c r="AQ37" s="784">
        <f>SUMPRODUCT($AP$14:$AP$36,AQ14:AQ36)</f>
        <v>952.98695704902821</v>
      </c>
      <c r="AR37" s="784">
        <f t="shared" ref="AR37:AW37" si="29">SUMPRODUCT($AP$14:$AP$36,AR14:AR36)</f>
        <v>0.95454522356406535</v>
      </c>
      <c r="AS37" s="784">
        <f t="shared" si="29"/>
        <v>922.17992339126772</v>
      </c>
      <c r="AT37" s="784">
        <f t="shared" si="29"/>
        <v>557.93040594587467</v>
      </c>
      <c r="AU37" s="784">
        <f t="shared" si="29"/>
        <v>0.83054794637932017</v>
      </c>
      <c r="AV37" s="784">
        <f t="shared" si="29"/>
        <v>403.51796071548949</v>
      </c>
      <c r="AW37" s="784">
        <f t="shared" si="29"/>
        <v>518.661962675778</v>
      </c>
      <c r="AZ37" s="1795" t="s">
        <v>541</v>
      </c>
      <c r="BA37" s="1796"/>
      <c r="BB37" s="1796"/>
      <c r="BC37" s="1796"/>
      <c r="BD37" s="1796"/>
      <c r="BE37" s="1796"/>
      <c r="BF37" s="1796"/>
      <c r="BG37" s="1796"/>
      <c r="BH37" s="1796"/>
      <c r="BI37" s="1797"/>
      <c r="BJ37" s="787">
        <f>SUM(BJ14:BJ36)</f>
        <v>518.661962675778</v>
      </c>
      <c r="BK37" s="788">
        <f>SUM(BK14:BK36)</f>
        <v>352.3858461220122</v>
      </c>
    </row>
    <row r="38" spans="1:63" ht="27" customHeight="1" thickBot="1">
      <c r="G38" s="419"/>
      <c r="H38" s="867"/>
      <c r="I38" s="1281"/>
      <c r="J38" s="867"/>
      <c r="K38" s="1282"/>
      <c r="L38" s="867"/>
      <c r="M38" s="1281"/>
      <c r="N38" s="867"/>
      <c r="O38" s="1281"/>
      <c r="P38" s="867"/>
      <c r="Q38" s="1271"/>
      <c r="R38" s="1271"/>
      <c r="S38" s="1271"/>
      <c r="T38" s="1271"/>
      <c r="U38" s="1295" t="s">
        <v>940</v>
      </c>
      <c r="V38" s="1272">
        <f>SQRT(SUMPRODUCT(V14:V36,V14:V36,$G14:$G36,$G14:$G36))</f>
        <v>24.043376585875883</v>
      </c>
      <c r="W38" s="1271"/>
      <c r="X38" s="1271"/>
      <c r="Y38" s="1272">
        <f>SQRT(SUMPRODUCT(Y14:Y36,Y14:Y36,G14:G36,G14:G36))</f>
        <v>18.869178396641882</v>
      </c>
      <c r="AJ38" s="1278"/>
      <c r="AK38" s="1278"/>
      <c r="AL38" s="1278"/>
      <c r="AM38" s="1278"/>
      <c r="AN38" s="1278"/>
      <c r="AO38" s="1278"/>
      <c r="AP38" s="1278"/>
      <c r="AQ38" s="1279"/>
      <c r="AR38" s="1279"/>
      <c r="AS38" s="1279"/>
      <c r="AT38" s="1279"/>
      <c r="AU38" s="1279"/>
      <c r="AV38" s="1279"/>
      <c r="AW38" s="1279"/>
      <c r="AZ38" s="1038"/>
      <c r="BA38" s="1039"/>
      <c r="BB38" s="1039"/>
      <c r="BC38" s="1039"/>
      <c r="BD38" s="1039"/>
      <c r="BE38" s="1039"/>
      <c r="BF38" s="1039"/>
      <c r="BG38" s="1039"/>
      <c r="BH38" s="1039"/>
      <c r="BI38" s="1040"/>
      <c r="BJ38" s="1284"/>
      <c r="BK38" s="788"/>
    </row>
    <row r="39" spans="1:63" ht="27" customHeight="1" thickBot="1">
      <c r="G39" s="419"/>
      <c r="H39" s="867"/>
      <c r="I39" s="1281"/>
      <c r="J39" s="867"/>
      <c r="K39" s="1282"/>
      <c r="L39" s="867"/>
      <c r="M39" s="1281"/>
      <c r="N39" s="867"/>
      <c r="O39" s="1281"/>
      <c r="P39" s="867"/>
      <c r="Q39" s="1271"/>
      <c r="R39" s="1271"/>
      <c r="S39" s="1271"/>
      <c r="T39" s="1271"/>
      <c r="U39" s="1295" t="s">
        <v>941</v>
      </c>
      <c r="V39" s="1272">
        <f>SQRT(SUMPRODUCT($H14:$H36,$H14:$H36,U14:U36,U14:U36))/100</f>
        <v>74.129322277267832</v>
      </c>
      <c r="W39" s="1271"/>
      <c r="X39" s="1271"/>
      <c r="Y39" s="1272">
        <f>SQRT(SUMPRODUCT($H14:$H36,$H14:$H36,X14:X36,X14:X36))/100</f>
        <v>53.197145402800331</v>
      </c>
      <c r="AJ39" s="1278"/>
      <c r="AK39" s="1278"/>
      <c r="AL39" s="1278"/>
      <c r="AM39" s="1278"/>
      <c r="AN39" s="1278"/>
      <c r="AO39" s="1278"/>
      <c r="AP39" s="1278"/>
      <c r="AQ39" s="1279"/>
      <c r="AR39" s="1279"/>
      <c r="AS39" s="1279"/>
      <c r="AT39" s="1279"/>
      <c r="AU39" s="1279"/>
      <c r="AV39" s="1279"/>
      <c r="AW39" s="1279"/>
      <c r="AZ39" s="1038"/>
      <c r="BA39" s="1039"/>
      <c r="BB39" s="1039"/>
      <c r="BC39" s="1039"/>
      <c r="BD39" s="1039"/>
      <c r="BE39" s="1039"/>
      <c r="BF39" s="1039"/>
      <c r="BG39" s="1039"/>
      <c r="BH39" s="1039"/>
      <c r="BI39" s="1040"/>
      <c r="BJ39" s="1284"/>
      <c r="BK39" s="788"/>
    </row>
    <row r="40" spans="1:63" ht="15" thickBot="1">
      <c r="Q40" s="1271"/>
      <c r="R40" s="1271"/>
      <c r="S40" s="1271"/>
      <c r="T40" s="1271"/>
      <c r="U40" s="1296" t="s">
        <v>942</v>
      </c>
      <c r="V40" s="1272">
        <f>SQRT(V38^2+V39^2)</f>
        <v>77.930997548711531</v>
      </c>
      <c r="W40" s="1271"/>
      <c r="X40" s="1271"/>
      <c r="Y40" s="1272">
        <f>SQRT(Y38^2+Y39^2)</f>
        <v>56.444505245160727</v>
      </c>
      <c r="AO40" s="331"/>
      <c r="AP40" s="786"/>
      <c r="AZ40" s="1795" t="s">
        <v>542</v>
      </c>
      <c r="BA40" s="1796"/>
      <c r="BB40" s="1796"/>
      <c r="BC40" s="1796"/>
      <c r="BD40" s="1796"/>
      <c r="BE40" s="1796"/>
      <c r="BF40" s="1796"/>
      <c r="BG40" s="1796"/>
      <c r="BH40" s="1796"/>
      <c r="BI40" s="1797"/>
      <c r="BJ40" s="1798">
        <f>BK37/BJ37</f>
        <v>0.67941332019809775</v>
      </c>
      <c r="BK40" s="1799"/>
    </row>
    <row r="41" spans="1:63">
      <c r="Y41" s="450" t="s">
        <v>278</v>
      </c>
      <c r="Z41" s="451">
        <f>V40*Z45</f>
        <v>128.74240972732622</v>
      </c>
      <c r="AA41" s="450" t="s">
        <v>278</v>
      </c>
      <c r="AB41" s="451">
        <f>Y40*AB45</f>
        <v>93.246613667257506</v>
      </c>
      <c r="AC41" s="450" t="s">
        <v>278</v>
      </c>
      <c r="AD41" s="421">
        <f>AE37*AD45</f>
        <v>0.2926533142205654</v>
      </c>
      <c r="AF41" s="450"/>
    </row>
    <row r="42" spans="1:63">
      <c r="Y42" s="916" t="s">
        <v>279</v>
      </c>
      <c r="Z42" s="452">
        <f>Z37-Z41</f>
        <v>389.91955294845178</v>
      </c>
      <c r="AA42" s="916" t="s">
        <v>279</v>
      </c>
      <c r="AB42" s="452">
        <f>AB37-AB41</f>
        <v>259.13923245475468</v>
      </c>
      <c r="AC42" s="916" t="s">
        <v>279</v>
      </c>
      <c r="AD42" s="418">
        <f>AD37-AD41</f>
        <v>0.38676000597753235</v>
      </c>
      <c r="AF42" s="421"/>
    </row>
    <row r="43" spans="1:63">
      <c r="Y43" s="916" t="s">
        <v>280</v>
      </c>
      <c r="Z43" s="452">
        <f>Z37+Z41</f>
        <v>647.40437240310416</v>
      </c>
      <c r="AA43" s="916" t="s">
        <v>280</v>
      </c>
      <c r="AB43" s="452">
        <f>AB37+AB41</f>
        <v>445.63245978926972</v>
      </c>
      <c r="AC43" s="916" t="s">
        <v>280</v>
      </c>
      <c r="AD43" s="418">
        <f>AD37+AD41</f>
        <v>0.97206663441866314</v>
      </c>
    </row>
    <row r="44" spans="1:63">
      <c r="Y44" s="432" t="s">
        <v>286</v>
      </c>
      <c r="Z44" s="421">
        <f>Z41/Z37</f>
        <v>0.24822026481977566</v>
      </c>
      <c r="AB44" s="421">
        <f>AB41/AB37</f>
        <v>0.26461509363509234</v>
      </c>
      <c r="AD44" s="421">
        <f>AD41/AD37</f>
        <v>0.43074415163841057</v>
      </c>
    </row>
    <row r="45" spans="1:63">
      <c r="Z45" s="916">
        <f>TINV(0.1,Z47)</f>
        <v>1.652005155546155</v>
      </c>
      <c r="AB45" s="916">
        <f>TINV(0.1,Z47)</f>
        <v>1.652005155546155</v>
      </c>
      <c r="AD45" s="916">
        <f>TINV(0.1,AD47)</f>
        <v>1.7530503556925723</v>
      </c>
    </row>
    <row r="47" spans="1:63">
      <c r="Y47" s="138" t="s">
        <v>281</v>
      </c>
      <c r="Z47" s="916">
        <v>214</v>
      </c>
      <c r="AD47" s="916">
        <v>15</v>
      </c>
    </row>
    <row r="61" spans="26:29" ht="15" thickBot="1"/>
    <row r="62" spans="26:29" ht="39.6" thickBot="1">
      <c r="Z62" s="465" t="s">
        <v>0</v>
      </c>
      <c r="AA62" s="466" t="s">
        <v>287</v>
      </c>
      <c r="AB62" s="466" t="s">
        <v>288</v>
      </c>
      <c r="AC62" s="466" t="s">
        <v>120</v>
      </c>
    </row>
    <row r="63" spans="26:29" ht="15" thickBot="1">
      <c r="Z63" s="1800" t="s">
        <v>290</v>
      </c>
      <c r="AA63" s="1801"/>
      <c r="AB63" s="1801"/>
      <c r="AC63" s="1801"/>
    </row>
    <row r="64" spans="26:29">
      <c r="Z64" s="479" t="s">
        <v>256</v>
      </c>
      <c r="AA64" s="468">
        <v>502.89861322325117</v>
      </c>
      <c r="AB64" s="470">
        <v>262.64257569457857</v>
      </c>
      <c r="AC64" s="471">
        <v>0.52225750636139445</v>
      </c>
    </row>
    <row r="65" spans="26:31">
      <c r="Z65" s="480" t="s">
        <v>18</v>
      </c>
      <c r="AA65" s="434">
        <v>534.953236698365</v>
      </c>
      <c r="AB65" s="436">
        <v>329.75850497007212</v>
      </c>
      <c r="AC65" s="437">
        <v>0.61642491782138231</v>
      </c>
      <c r="AD65" s="186">
        <f>Z37-AA65</f>
        <v>-16.291274022587004</v>
      </c>
      <c r="AE65" s="186">
        <f>AB37-AB65</f>
        <v>22.627341151940072</v>
      </c>
    </row>
    <row r="66" spans="26:31" ht="15" thickBot="1">
      <c r="Z66" s="481" t="s">
        <v>257</v>
      </c>
      <c r="AA66" s="439">
        <v>354.39138547335477</v>
      </c>
      <c r="AB66" s="441">
        <v>214.20202145754766</v>
      </c>
      <c r="AC66" s="442">
        <v>0.60442220166114236</v>
      </c>
    </row>
    <row r="67" spans="26:31" ht="15" thickBot="1">
      <c r="Z67" s="1800" t="s">
        <v>289</v>
      </c>
      <c r="AA67" s="1801"/>
      <c r="AB67" s="1801"/>
      <c r="AC67" s="1801"/>
    </row>
    <row r="68" spans="26:31" ht="15" thickBot="1">
      <c r="Z68" s="481" t="s">
        <v>291</v>
      </c>
      <c r="AA68" s="439">
        <v>780.78678748760274</v>
      </c>
      <c r="AB68" s="441">
        <v>546.17724410241294</v>
      </c>
      <c r="AC68" s="442">
        <v>0.69952162722923261</v>
      </c>
    </row>
  </sheetData>
  <mergeCells count="100">
    <mergeCell ref="AZ15:BE15"/>
    <mergeCell ref="A16:F16"/>
    <mergeCell ref="AJ16:AO16"/>
    <mergeCell ref="AZ16:BE16"/>
    <mergeCell ref="E5:F5"/>
    <mergeCell ref="A12:F12"/>
    <mergeCell ref="AJ12:AO13"/>
    <mergeCell ref="AZ12:BE13"/>
    <mergeCell ref="A14:F14"/>
    <mergeCell ref="AJ14:AO14"/>
    <mergeCell ref="AZ14:BE14"/>
    <mergeCell ref="A17:A36"/>
    <mergeCell ref="B17:B25"/>
    <mergeCell ref="C17:C21"/>
    <mergeCell ref="AN30:AO30"/>
    <mergeCell ref="A15:F15"/>
    <mergeCell ref="AJ15:AO15"/>
    <mergeCell ref="AM17:AO17"/>
    <mergeCell ref="C22:C25"/>
    <mergeCell ref="B26:B36"/>
    <mergeCell ref="C26:C32"/>
    <mergeCell ref="D24:F24"/>
    <mergeCell ref="AM24:AO24"/>
    <mergeCell ref="AM26:AM29"/>
    <mergeCell ref="D20:E21"/>
    <mergeCell ref="D17:F17"/>
    <mergeCell ref="AJ17:AJ36"/>
    <mergeCell ref="AL17:AL21"/>
    <mergeCell ref="D18:F18"/>
    <mergeCell ref="AM18:AO18"/>
    <mergeCell ref="E28:E29"/>
    <mergeCell ref="AN28:AN29"/>
    <mergeCell ref="D19:F19"/>
    <mergeCell ref="AM19:AO19"/>
    <mergeCell ref="D30:D32"/>
    <mergeCell ref="E30:F30"/>
    <mergeCell ref="AM30:AM32"/>
    <mergeCell ref="BC20:BD21"/>
    <mergeCell ref="D22:F22"/>
    <mergeCell ref="AL22:AL25"/>
    <mergeCell ref="AM22:AO22"/>
    <mergeCell ref="BB22:BB25"/>
    <mergeCell ref="BC22:BE22"/>
    <mergeCell ref="D23:F23"/>
    <mergeCell ref="AM23:AO23"/>
    <mergeCell ref="BC23:BE23"/>
    <mergeCell ref="AZ17:AZ36"/>
    <mergeCell ref="BA17:BA25"/>
    <mergeCell ref="BB17:BB21"/>
    <mergeCell ref="AK17:AK25"/>
    <mergeCell ref="BC17:BE17"/>
    <mergeCell ref="AN27:AO27"/>
    <mergeCell ref="BD27:BE27"/>
    <mergeCell ref="BC18:BE18"/>
    <mergeCell ref="AM20:AN21"/>
    <mergeCell ref="BC19:BE19"/>
    <mergeCell ref="BD28:BD29"/>
    <mergeCell ref="BC24:BE24"/>
    <mergeCell ref="D25:F25"/>
    <mergeCell ref="AM25:AO25"/>
    <mergeCell ref="BC25:BE25"/>
    <mergeCell ref="D26:D29"/>
    <mergeCell ref="E26:F26"/>
    <mergeCell ref="AK26:AK36"/>
    <mergeCell ref="AL26:AL32"/>
    <mergeCell ref="AN26:AO26"/>
    <mergeCell ref="BA26:BA36"/>
    <mergeCell ref="BB26:BB32"/>
    <mergeCell ref="BC26:BC29"/>
    <mergeCell ref="BD26:BE26"/>
    <mergeCell ref="E27:F27"/>
    <mergeCell ref="BC30:BC32"/>
    <mergeCell ref="BD30:BE30"/>
    <mergeCell ref="E31:F31"/>
    <mergeCell ref="AN31:AO31"/>
    <mergeCell ref="BD31:BE31"/>
    <mergeCell ref="E32:F32"/>
    <mergeCell ref="AN32:AO32"/>
    <mergeCell ref="BD32:BE32"/>
    <mergeCell ref="Z67:AC67"/>
    <mergeCell ref="AM34:AO34"/>
    <mergeCell ref="BC34:BE34"/>
    <mergeCell ref="D35:F35"/>
    <mergeCell ref="AM35:AO35"/>
    <mergeCell ref="BC35:BE35"/>
    <mergeCell ref="C36:F36"/>
    <mergeCell ref="AL36:AO36"/>
    <mergeCell ref="BB36:BE36"/>
    <mergeCell ref="C33:C35"/>
    <mergeCell ref="D33:F33"/>
    <mergeCell ref="AL33:AL35"/>
    <mergeCell ref="AM33:AO33"/>
    <mergeCell ref="BB33:BB35"/>
    <mergeCell ref="BC33:BE33"/>
    <mergeCell ref="D34:F34"/>
    <mergeCell ref="AJ37:AP37"/>
    <mergeCell ref="AZ37:BI37"/>
    <mergeCell ref="AZ40:BI40"/>
    <mergeCell ref="BJ40:BK40"/>
    <mergeCell ref="Z63:AC6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BK58"/>
  <sheetViews>
    <sheetView topLeftCell="P13" zoomScale="85" zoomScaleNormal="85" workbookViewId="0">
      <selection activeCell="O50" sqref="O50"/>
    </sheetView>
  </sheetViews>
  <sheetFormatPr defaultColWidth="9.109375" defaultRowHeight="14.4" outlineLevelRow="1" outlineLevelCol="1"/>
  <cols>
    <col min="1" max="4" width="16.44140625" style="916" customWidth="1"/>
    <col min="5" max="5" width="18.6640625" style="916" customWidth="1"/>
    <col min="6" max="6" width="19" style="916" customWidth="1"/>
    <col min="7" max="7" width="9.6640625" style="916" customWidth="1"/>
    <col min="8" max="8" width="8.33203125" style="916" customWidth="1" outlineLevel="1"/>
    <col min="9" max="9" width="11.33203125" style="916" customWidth="1"/>
    <col min="10" max="10" width="9.33203125" style="916" customWidth="1" outlineLevel="1"/>
    <col min="11" max="11" width="11" style="916" customWidth="1"/>
    <col min="12" max="12" width="11" style="916" customWidth="1" outlineLevel="1"/>
    <col min="13" max="13" width="10.33203125" style="916" customWidth="1"/>
    <col min="14" max="14" width="10.109375" style="916" customWidth="1" outlineLevel="1"/>
    <col min="15" max="15" width="10.109375" style="916" customWidth="1"/>
    <col min="16" max="16" width="7.6640625" style="916" customWidth="1" outlineLevel="1"/>
    <col min="17" max="17" width="9.44140625" style="916" customWidth="1"/>
    <col min="18" max="18" width="7.6640625" style="916" customWidth="1" outlineLevel="1"/>
    <col min="19" max="19" width="9" style="916" customWidth="1"/>
    <col min="20" max="20" width="7.6640625" style="916" customWidth="1" outlineLevel="1"/>
    <col min="21" max="21" width="4.109375" style="916" bestFit="1" customWidth="1"/>
    <col min="22" max="22" width="12.109375" style="916" customWidth="1" outlineLevel="1"/>
    <col min="23" max="23" width="4.6640625" style="916" bestFit="1" customWidth="1"/>
    <col min="24" max="24" width="4.109375" style="916" bestFit="1" customWidth="1"/>
    <col min="25" max="25" width="27.5546875" style="916" customWidth="1" outlineLevel="1"/>
    <col min="26" max="26" width="12.33203125" style="916" bestFit="1" customWidth="1"/>
    <col min="27" max="27" width="9.6640625" style="916" customWidth="1" outlineLevel="1"/>
    <col min="28" max="28" width="12.33203125" style="916" bestFit="1" customWidth="1"/>
    <col min="29" max="29" width="9.6640625" style="916" customWidth="1" outlineLevel="1"/>
    <col min="30" max="30" width="12.33203125" style="916" bestFit="1" customWidth="1"/>
    <col min="31" max="31" width="6.44140625" style="916" bestFit="1" customWidth="1"/>
    <col min="32" max="34" width="9.109375" style="916" hidden="1" customWidth="1"/>
    <col min="35" max="40" width="9.109375" style="916"/>
    <col min="41" max="41" width="20.6640625" style="916" customWidth="1"/>
    <col min="42" max="51" width="9.109375" style="916"/>
    <col min="52" max="52" width="6.5546875" style="916" customWidth="1"/>
    <col min="53" max="53" width="5.33203125" style="916" customWidth="1"/>
    <col min="54" max="54" width="6.44140625" style="916" customWidth="1"/>
    <col min="55" max="55" width="9.109375" style="916"/>
    <col min="56" max="56" width="12.88671875" style="916" customWidth="1"/>
    <col min="57" max="57" width="18" style="916" customWidth="1"/>
    <col min="58" max="16384" width="9.109375" style="916"/>
  </cols>
  <sheetData>
    <row r="3" spans="1:63" ht="15" thickBot="1">
      <c r="A3" s="916" t="s">
        <v>63</v>
      </c>
    </row>
    <row r="4" spans="1:63" ht="15.75" customHeight="1" thickBot="1">
      <c r="A4" s="43"/>
      <c r="B4" s="916" t="s">
        <v>66</v>
      </c>
      <c r="C4" s="916" t="s">
        <v>66</v>
      </c>
      <c r="E4" s="486" t="s">
        <v>298</v>
      </c>
      <c r="F4" s="486"/>
      <c r="G4" s="486" t="s">
        <v>294</v>
      </c>
      <c r="H4" s="488" t="s">
        <v>293</v>
      </c>
    </row>
    <row r="5" spans="1:63" ht="15" customHeight="1" thickBot="1">
      <c r="A5" s="44"/>
      <c r="B5" s="916" t="s">
        <v>69</v>
      </c>
      <c r="C5" s="916" t="s">
        <v>69</v>
      </c>
      <c r="E5" s="485" t="s">
        <v>198</v>
      </c>
      <c r="F5" s="485"/>
      <c r="G5" s="487">
        <f>'Gross UECs'!D5</f>
        <v>853</v>
      </c>
      <c r="H5" s="489">
        <f>'Gross UECs'!I5</f>
        <v>75.656474204663084</v>
      </c>
    </row>
    <row r="6" spans="1:63" ht="15" thickBot="1">
      <c r="A6" s="45"/>
      <c r="B6" s="916" t="s">
        <v>70</v>
      </c>
      <c r="C6" s="916" t="s">
        <v>70</v>
      </c>
      <c r="E6" s="485" t="s">
        <v>211</v>
      </c>
      <c r="F6" s="485"/>
      <c r="G6" s="487">
        <f>'Gross UECs'!D16</f>
        <v>724</v>
      </c>
      <c r="H6" s="489">
        <f>'Gross UECs'!I27</f>
        <v>120</v>
      </c>
    </row>
    <row r="7" spans="1:63" ht="15" customHeight="1" thickBot="1">
      <c r="A7" s="46"/>
      <c r="B7" s="47" t="s">
        <v>71</v>
      </c>
      <c r="C7" s="47" t="s">
        <v>71</v>
      </c>
      <c r="E7" s="485" t="s">
        <v>212</v>
      </c>
      <c r="F7" s="485"/>
      <c r="G7" s="487">
        <f>'Gross UECs'!D27</f>
        <v>660</v>
      </c>
      <c r="H7" s="489">
        <f>'Gross UECs'!I16</f>
        <v>92</v>
      </c>
    </row>
    <row r="8" spans="1:63">
      <c r="E8" s="485" t="s">
        <v>240</v>
      </c>
      <c r="F8" s="485"/>
      <c r="G8" s="655">
        <f>452</f>
        <v>452</v>
      </c>
      <c r="H8" s="489">
        <v>0</v>
      </c>
      <c r="I8" s="916" t="s">
        <v>411</v>
      </c>
    </row>
    <row r="9" spans="1:63">
      <c r="E9" s="138"/>
      <c r="F9" s="138"/>
      <c r="G9" s="526"/>
      <c r="AN9" s="916" t="s">
        <v>535</v>
      </c>
      <c r="AO9" s="331"/>
      <c r="BB9" s="916" t="s">
        <v>545</v>
      </c>
    </row>
    <row r="10" spans="1:63">
      <c r="AJ10" s="916" t="s">
        <v>517</v>
      </c>
      <c r="AO10" s="331"/>
      <c r="AZ10" s="916" t="s">
        <v>518</v>
      </c>
    </row>
    <row r="11" spans="1:63" ht="15" thickBot="1">
      <c r="AO11" s="331"/>
    </row>
    <row r="12" spans="1:63" s="331" customFormat="1" ht="139.94999999999999" customHeight="1" thickBot="1">
      <c r="A12" s="1756" t="s">
        <v>331</v>
      </c>
      <c r="B12" s="1756"/>
      <c r="C12" s="1756"/>
      <c r="D12" s="1756"/>
      <c r="E12" s="1756"/>
      <c r="F12" s="1757"/>
      <c r="G12" s="114" t="s">
        <v>113</v>
      </c>
      <c r="H12" s="1017" t="str">
        <f>"SE of "&amp;G12</f>
        <v>SE of Proportion of program units in this path</v>
      </c>
      <c r="I12" s="114" t="s">
        <v>115</v>
      </c>
      <c r="J12" s="856" t="str">
        <f>"SE of "&amp;I12</f>
        <v>SE of Gross Full Year Consumption</v>
      </c>
      <c r="K12" s="114" t="s">
        <v>102</v>
      </c>
      <c r="L12" s="856" t="str">
        <f>"SE of "&amp;K12</f>
        <v>SE of  Baseline Usage factor</v>
      </c>
      <c r="M12" s="114" t="s">
        <v>125</v>
      </c>
      <c r="N12" s="856" t="str">
        <f>"SE of "&amp;M12</f>
        <v>SE of Gross Baseline UEC (Part use adjusted)</v>
      </c>
      <c r="O12" s="114" t="s">
        <v>99</v>
      </c>
      <c r="P12" s="856" t="str">
        <f>"SE of "&amp;O12</f>
        <v>SE of Program Alternative Full Year Consumption</v>
      </c>
      <c r="Q12" s="114" t="s">
        <v>129</v>
      </c>
      <c r="R12" s="856" t="str">
        <f>"SE of "&amp;Q12</f>
        <v>SE of Usage Factor on the grid with the Program</v>
      </c>
      <c r="S12" s="114" t="s">
        <v>126</v>
      </c>
      <c r="T12" s="856" t="str">
        <f>"SE of "&amp;S12</f>
        <v>SE of Gross UEC with Program (part use adjusted)</v>
      </c>
      <c r="U12" s="401" t="s">
        <v>112</v>
      </c>
      <c r="V12" s="294" t="str">
        <f>"SE of "&amp;U12</f>
        <v>SE of Gross Unit Energy Savings</v>
      </c>
      <c r="W12" s="114" t="s">
        <v>124</v>
      </c>
      <c r="X12" s="401" t="s">
        <v>128</v>
      </c>
      <c r="Y12" s="294" t="str">
        <f>"SE of "&amp;X12</f>
        <v>SE of Net Savings</v>
      </c>
      <c r="Z12" s="401" t="s">
        <v>243</v>
      </c>
      <c r="AA12" s="294" t="str">
        <f>"SE of "&amp;Z12</f>
        <v>SE of Aggregate Gross Unit Savings</v>
      </c>
      <c r="AB12" s="401" t="s">
        <v>242</v>
      </c>
      <c r="AC12" s="294" t="str">
        <f>"SE of "&amp;AB12</f>
        <v>SE of Aggregate Net Unit Savings</v>
      </c>
      <c r="AD12" s="114" t="s">
        <v>120</v>
      </c>
      <c r="AE12" s="223" t="str">
        <f>"SE of "&amp;AD12</f>
        <v>SE of NTG Ratio</v>
      </c>
      <c r="AJ12" s="1804" t="s">
        <v>519</v>
      </c>
      <c r="AK12" s="1804"/>
      <c r="AL12" s="1804"/>
      <c r="AM12" s="1804"/>
      <c r="AN12" s="1804"/>
      <c r="AO12" s="1805"/>
      <c r="AP12" s="770" t="s">
        <v>528</v>
      </c>
      <c r="AQ12" s="771" t="s">
        <v>513</v>
      </c>
      <c r="AR12" s="771" t="s">
        <v>514</v>
      </c>
      <c r="AS12" s="769" t="s">
        <v>529</v>
      </c>
      <c r="AT12" s="771" t="s">
        <v>515</v>
      </c>
      <c r="AU12" s="769" t="s">
        <v>530</v>
      </c>
      <c r="AV12" s="771" t="s">
        <v>516</v>
      </c>
      <c r="AW12" s="769" t="s">
        <v>531</v>
      </c>
      <c r="AZ12" s="1804" t="s">
        <v>519</v>
      </c>
      <c r="BA12" s="1804"/>
      <c r="BB12" s="1804"/>
      <c r="BC12" s="1804"/>
      <c r="BD12" s="1804"/>
      <c r="BE12" s="1805"/>
      <c r="BF12" s="779" t="s">
        <v>113</v>
      </c>
      <c r="BG12" s="780" t="s">
        <v>112</v>
      </c>
      <c r="BH12" s="780" t="s">
        <v>124</v>
      </c>
      <c r="BI12" s="780" t="s">
        <v>128</v>
      </c>
      <c r="BJ12" s="780" t="s">
        <v>536</v>
      </c>
      <c r="BK12" s="780" t="s">
        <v>537</v>
      </c>
    </row>
    <row r="13" spans="1:63" s="334" customFormat="1" ht="43.5" customHeight="1" outlineLevel="1" thickBot="1">
      <c r="A13" s="916"/>
      <c r="B13" s="916"/>
      <c r="C13" s="916"/>
      <c r="D13" s="916"/>
      <c r="E13" s="916"/>
      <c r="F13" s="916"/>
      <c r="G13" s="136" t="s">
        <v>118</v>
      </c>
      <c r="H13" s="1008"/>
      <c r="I13" s="136" t="s">
        <v>119</v>
      </c>
      <c r="J13" s="1008"/>
      <c r="K13" s="137" t="s">
        <v>117</v>
      </c>
      <c r="L13" s="857"/>
      <c r="M13" s="137" t="s">
        <v>122</v>
      </c>
      <c r="N13" s="857"/>
      <c r="O13" s="137" t="s">
        <v>150</v>
      </c>
      <c r="P13" s="857"/>
      <c r="Q13" s="139" t="s">
        <v>127</v>
      </c>
      <c r="R13" s="1012"/>
      <c r="S13" s="139" t="s">
        <v>121</v>
      </c>
      <c r="T13" s="1012" t="s">
        <v>148</v>
      </c>
      <c r="U13" s="139"/>
      <c r="V13" s="137" t="s">
        <v>149</v>
      </c>
      <c r="W13" s="137"/>
      <c r="X13" s="335"/>
      <c r="AJ13" s="1560"/>
      <c r="AK13" s="1560"/>
      <c r="AL13" s="1560"/>
      <c r="AM13" s="1560"/>
      <c r="AN13" s="1560"/>
      <c r="AO13" s="1637"/>
      <c r="AP13" s="777" t="s">
        <v>520</v>
      </c>
      <c r="AQ13" s="778" t="s">
        <v>521</v>
      </c>
      <c r="AR13" s="778" t="s">
        <v>522</v>
      </c>
      <c r="AS13" s="778" t="s">
        <v>523</v>
      </c>
      <c r="AT13" s="778" t="s">
        <v>524</v>
      </c>
      <c r="AU13" s="778" t="s">
        <v>525</v>
      </c>
      <c r="AV13" s="778" t="s">
        <v>526</v>
      </c>
      <c r="AW13" s="778" t="s">
        <v>527</v>
      </c>
      <c r="AX13" s="331"/>
      <c r="AZ13" s="1560"/>
      <c r="BA13" s="1560"/>
      <c r="BB13" s="1560"/>
      <c r="BC13" s="1560"/>
      <c r="BD13" s="1560"/>
      <c r="BE13" s="1637"/>
      <c r="BF13" s="772" t="s">
        <v>520</v>
      </c>
      <c r="BG13" s="773" t="s">
        <v>521</v>
      </c>
      <c r="BH13" s="773" t="s">
        <v>522</v>
      </c>
      <c r="BI13" s="773" t="s">
        <v>540</v>
      </c>
      <c r="BJ13" s="773" t="s">
        <v>538</v>
      </c>
      <c r="BK13" s="773" t="s">
        <v>539</v>
      </c>
    </row>
    <row r="14" spans="1:63" ht="15" thickBot="1">
      <c r="A14" s="1753" t="s">
        <v>267</v>
      </c>
      <c r="B14" s="1753"/>
      <c r="C14" s="1753"/>
      <c r="D14" s="1753"/>
      <c r="E14" s="1753"/>
      <c r="F14" s="1753"/>
      <c r="G14" s="743">
        <f>'Statewide Ref Dispostion'!AN8</f>
        <v>0.136803497976</v>
      </c>
      <c r="H14" s="1288">
        <f>'Statewide Ref Dispostion'!AP8</f>
        <v>2.7723</v>
      </c>
      <c r="I14" s="125">
        <f t="shared" ref="I14:I36" si="0">$G$5</f>
        <v>853</v>
      </c>
      <c r="J14" s="863">
        <f t="shared" ref="J14:J36" si="1">$H$5</f>
        <v>75.656474204663084</v>
      </c>
      <c r="K14" s="119">
        <f>'Part KIU-KU'!V$25</f>
        <v>0.95104949999999999</v>
      </c>
      <c r="L14" s="859">
        <f>'Part KIU-KU'!X$25</f>
        <v>2.2906200000000002E-2</v>
      </c>
      <c r="M14" s="125">
        <f>I14*K14</f>
        <v>811.24522349999995</v>
      </c>
      <c r="N14" s="863">
        <f>M14*SQRT(IF(I14&gt;0,(J14/I14)^2,0)+IF(K14&gt;0,(L14/K14/100)^2,0))</f>
        <v>71.953317256101116</v>
      </c>
      <c r="O14" s="125">
        <f>$G$5</f>
        <v>853</v>
      </c>
      <c r="P14" s="863">
        <f>$H$5</f>
        <v>75.656474204663084</v>
      </c>
      <c r="Q14" s="119">
        <v>0</v>
      </c>
      <c r="R14" s="859">
        <v>0</v>
      </c>
      <c r="S14" s="125">
        <f>O14*Q14</f>
        <v>0</v>
      </c>
      <c r="T14" s="863">
        <f>S14*SQRT(IF(O14&gt;0,(P14/O14)^2,0)+IF(Q14&gt;0,(R14/Q14/100)^2,0))</f>
        <v>0</v>
      </c>
      <c r="U14" s="147">
        <f>M14-S14</f>
        <v>811.24522349999995</v>
      </c>
      <c r="V14" s="753">
        <f>SQRT(T14^2+N14^2)</f>
        <v>71.953317256101116</v>
      </c>
      <c r="W14" s="147">
        <v>1</v>
      </c>
      <c r="X14" s="147">
        <f>U14*W14</f>
        <v>811.24522349999995</v>
      </c>
      <c r="Y14" s="753">
        <f>V14</f>
        <v>71.953317256101116</v>
      </c>
      <c r="Z14" s="147">
        <f>U14*G14</f>
        <v>110.98118429112191</v>
      </c>
      <c r="AA14" s="753">
        <f>Z14*SQRT(IF(G14&gt;0,(H14/G14/100)^2,0)+IF(U14&gt;0,(V14/U14),0))</f>
        <v>39.978073548924144</v>
      </c>
      <c r="AB14" s="147">
        <f t="shared" ref="AB14:AB36" si="2">X14*G14</f>
        <v>110.98118429112191</v>
      </c>
      <c r="AC14" s="753">
        <f>AB14*SQRT(IF(X14&gt;0,(Y14/X14)^2,0)+IF(G14&gt;0,(H14/G14/100)^2,0))</f>
        <v>24.54996374294468</v>
      </c>
      <c r="AD14" s="299">
        <f>IF(Z14&gt;0,AB14/Z14,0)</f>
        <v>1</v>
      </c>
      <c r="AE14" s="752">
        <f>AD14*SQRT(IF(Z14&gt;0,(AA14/Z14)^2,0)+IF(AB14&gt;0,(AC14/AB14)^2,0))</f>
        <v>0.42272257919994816</v>
      </c>
      <c r="AJ14" s="1575" t="s">
        <v>267</v>
      </c>
      <c r="AK14" s="1575"/>
      <c r="AL14" s="1575"/>
      <c r="AM14" s="1575"/>
      <c r="AN14" s="1575"/>
      <c r="AO14" s="1575"/>
      <c r="AP14" s="765">
        <f>G14</f>
        <v>0.136803497976</v>
      </c>
      <c r="AQ14" s="766">
        <f>I14</f>
        <v>853</v>
      </c>
      <c r="AR14" s="767">
        <f>K14</f>
        <v>0.95104949999999999</v>
      </c>
      <c r="AS14" s="766">
        <f>M14</f>
        <v>811.24522349999995</v>
      </c>
      <c r="AT14" s="766">
        <f>O14</f>
        <v>853</v>
      </c>
      <c r="AU14" s="766">
        <f>Q14</f>
        <v>0</v>
      </c>
      <c r="AV14" s="766">
        <f>S14</f>
        <v>0</v>
      </c>
      <c r="AW14" s="766">
        <f>U14</f>
        <v>811.24522349999995</v>
      </c>
      <c r="AZ14" s="1575" t="s">
        <v>267</v>
      </c>
      <c r="BA14" s="1575"/>
      <c r="BB14" s="1575"/>
      <c r="BC14" s="1575"/>
      <c r="BD14" s="1575"/>
      <c r="BE14" s="1575"/>
      <c r="BF14" s="765">
        <f>G14</f>
        <v>0.136803497976</v>
      </c>
      <c r="BG14" s="781">
        <f>U14</f>
        <v>811.24522349999995</v>
      </c>
      <c r="BH14" s="782">
        <f>W14</f>
        <v>1</v>
      </c>
      <c r="BI14" s="783">
        <f>X14</f>
        <v>811.24522349999995</v>
      </c>
      <c r="BJ14" s="782">
        <f>Z14</f>
        <v>110.98118429112191</v>
      </c>
      <c r="BK14" s="782">
        <f>AB14</f>
        <v>110.98118429112191</v>
      </c>
    </row>
    <row r="15" spans="1:63" ht="15" thickBot="1">
      <c r="A15" s="1753" t="s">
        <v>268</v>
      </c>
      <c r="B15" s="1753"/>
      <c r="C15" s="1753"/>
      <c r="D15" s="1753"/>
      <c r="E15" s="1753"/>
      <c r="F15" s="1753"/>
      <c r="G15" s="743">
        <f>'Statewide Ref Dispostion'!AN9</f>
        <v>2.3024502023999999E-2</v>
      </c>
      <c r="H15" s="1288">
        <f>'Statewide Ref Dispostion'!AP9</f>
        <v>2.7723</v>
      </c>
      <c r="I15" s="125">
        <f t="shared" si="0"/>
        <v>853</v>
      </c>
      <c r="J15" s="863">
        <f t="shared" si="1"/>
        <v>75.656474204663084</v>
      </c>
      <c r="K15" s="119">
        <v>0</v>
      </c>
      <c r="L15" s="859">
        <v>0</v>
      </c>
      <c r="M15" s="125">
        <f t="shared" ref="M15:M35" si="3">I15*K15</f>
        <v>0</v>
      </c>
      <c r="N15" s="863">
        <f t="shared" ref="N15:N36" si="4">M15*SQRT(IF(I15&gt;0,(J15/I15)^2,0)+IF(K15&gt;0,(L15/K15/100)^2,0))</f>
        <v>0</v>
      </c>
      <c r="O15" s="125">
        <f>$G$5</f>
        <v>853</v>
      </c>
      <c r="P15" s="863">
        <f>$H$5</f>
        <v>75.656474204663084</v>
      </c>
      <c r="Q15" s="522">
        <v>0</v>
      </c>
      <c r="R15" s="1022">
        <v>0</v>
      </c>
      <c r="S15" s="117">
        <f t="shared" ref="S15:T35" si="5">Q15*O15</f>
        <v>0</v>
      </c>
      <c r="T15" s="863">
        <f t="shared" ref="T15:T36" si="6">S15*SQRT(IF(O15&gt;0,(P15/O15)^2,0)+IF(Q15&gt;0,(R15/Q15/100)^2,0))</f>
        <v>0</v>
      </c>
      <c r="U15" s="142">
        <f t="shared" ref="U15:U36" si="7">M15-S15</f>
        <v>0</v>
      </c>
      <c r="V15" s="753">
        <f t="shared" ref="V15:V36" si="8">SQRT(T15^2+N15^2)</f>
        <v>0</v>
      </c>
      <c r="W15" s="147">
        <v>1</v>
      </c>
      <c r="X15" s="142">
        <f t="shared" ref="X15:X36" si="9">U15*W15</f>
        <v>0</v>
      </c>
      <c r="Y15" s="753">
        <f t="shared" ref="Y15:Y35" si="10">V15</f>
        <v>0</v>
      </c>
      <c r="Z15" s="142">
        <f t="shared" ref="Z15:Z36" si="11">U15*G15</f>
        <v>0</v>
      </c>
      <c r="AA15" s="753">
        <f t="shared" ref="AA15:AA36" si="12">Z15*SQRT(IF(G15&gt;0,(H15/G15/100)^2,0)+IF(U15&gt;0,(V15/U15),0))</f>
        <v>0</v>
      </c>
      <c r="AB15" s="142">
        <f t="shared" si="2"/>
        <v>0</v>
      </c>
      <c r="AC15" s="753">
        <f t="shared" ref="AC15:AC36" si="13">AB15*SQRT(IF(X15&gt;0,(Y15/X15)^2,0)+IF(G15&gt;0,(H15/G15/100)^2,0))</f>
        <v>0</v>
      </c>
      <c r="AD15" s="299" t="s">
        <v>130</v>
      </c>
      <c r="AE15" s="753" t="s">
        <v>130</v>
      </c>
      <c r="AJ15" s="1575" t="s">
        <v>268</v>
      </c>
      <c r="AK15" s="1575"/>
      <c r="AL15" s="1575"/>
      <c r="AM15" s="1575"/>
      <c r="AN15" s="1575"/>
      <c r="AO15" s="1575"/>
      <c r="AP15" s="765">
        <f t="shared" ref="AP15:AP36" si="14">G15</f>
        <v>2.3024502023999999E-2</v>
      </c>
      <c r="AQ15" s="766">
        <f t="shared" ref="AQ15:AQ36" si="15">I15</f>
        <v>853</v>
      </c>
      <c r="AR15" s="767">
        <f t="shared" ref="AR15:AR36" si="16">K15</f>
        <v>0</v>
      </c>
      <c r="AS15" s="766">
        <f t="shared" ref="AS15:AS36" si="17">M15</f>
        <v>0</v>
      </c>
      <c r="AT15" s="766">
        <f t="shared" ref="AT15:AT36" si="18">O15</f>
        <v>853</v>
      </c>
      <c r="AU15" s="766">
        <f t="shared" ref="AU15:AU36" si="19">Q15</f>
        <v>0</v>
      </c>
      <c r="AV15" s="766">
        <f t="shared" ref="AV15:AV36" si="20">S15</f>
        <v>0</v>
      </c>
      <c r="AW15" s="766">
        <f t="shared" ref="AW15:AW36" si="21">U15</f>
        <v>0</v>
      </c>
      <c r="AZ15" s="1575" t="s">
        <v>268</v>
      </c>
      <c r="BA15" s="1575"/>
      <c r="BB15" s="1575"/>
      <c r="BC15" s="1575"/>
      <c r="BD15" s="1575"/>
      <c r="BE15" s="1575"/>
      <c r="BF15" s="765">
        <f t="shared" ref="BF15:BF36" si="22">G15</f>
        <v>2.3024502023999999E-2</v>
      </c>
      <c r="BG15" s="781">
        <f t="shared" ref="BG15:BG36" si="23">U15</f>
        <v>0</v>
      </c>
      <c r="BH15" s="782">
        <f t="shared" ref="BH15:BI36" si="24">W15</f>
        <v>1</v>
      </c>
      <c r="BI15" s="783">
        <f t="shared" si="24"/>
        <v>0</v>
      </c>
      <c r="BJ15" s="782">
        <f t="shared" ref="BJ15:BJ36" si="25">Z15</f>
        <v>0</v>
      </c>
      <c r="BK15" s="782">
        <f t="shared" ref="BK15:BK36" si="26">AB15</f>
        <v>0</v>
      </c>
    </row>
    <row r="16" spans="1:63" ht="15" thickBot="1">
      <c r="A16" s="1791" t="s">
        <v>133</v>
      </c>
      <c r="B16" s="1791"/>
      <c r="C16" s="1791"/>
      <c r="D16" s="1791"/>
      <c r="E16" s="1791"/>
      <c r="F16" s="1791"/>
      <c r="G16" s="744">
        <f>'Statewide Ref Dispostion'!AN10</f>
        <v>0.18151916060000001</v>
      </c>
      <c r="H16" s="1289">
        <f>'Statewide Ref Dispostion'!AP10</f>
        <v>2.144933359575032</v>
      </c>
      <c r="I16" s="125">
        <f t="shared" si="0"/>
        <v>853</v>
      </c>
      <c r="J16" s="863">
        <f t="shared" si="1"/>
        <v>75.656474204663084</v>
      </c>
      <c r="K16" s="119">
        <v>0.99</v>
      </c>
      <c r="L16" s="859">
        <v>0</v>
      </c>
      <c r="M16" s="125">
        <v>804</v>
      </c>
      <c r="N16" s="863">
        <f t="shared" si="4"/>
        <v>71.310439930303772</v>
      </c>
      <c r="O16" s="125">
        <v>423</v>
      </c>
      <c r="P16" s="863"/>
      <c r="Q16" s="522">
        <v>9.9000000000000005E-2</v>
      </c>
      <c r="R16" s="1022">
        <v>0</v>
      </c>
      <c r="S16" s="125">
        <v>420</v>
      </c>
      <c r="T16" s="863">
        <f t="shared" si="6"/>
        <v>0</v>
      </c>
      <c r="U16" s="147">
        <f t="shared" si="7"/>
        <v>384</v>
      </c>
      <c r="V16" s="753">
        <f t="shared" si="8"/>
        <v>71.310439930303772</v>
      </c>
      <c r="W16" s="147">
        <v>0</v>
      </c>
      <c r="X16" s="142">
        <f t="shared" si="9"/>
        <v>0</v>
      </c>
      <c r="Y16" s="753">
        <v>0</v>
      </c>
      <c r="Z16" s="147">
        <f t="shared" si="11"/>
        <v>69.70335767040001</v>
      </c>
      <c r="AA16" s="753">
        <f t="shared" si="12"/>
        <v>31.146358400795791</v>
      </c>
      <c r="AB16" s="142">
        <f t="shared" si="2"/>
        <v>0</v>
      </c>
      <c r="AC16" s="753">
        <f t="shared" si="13"/>
        <v>0</v>
      </c>
      <c r="AD16" s="299">
        <f>IF(Z16&gt;0,AB16/Z16,0)</f>
        <v>0</v>
      </c>
      <c r="AE16" s="752">
        <f>AD16*SQRT(IF(Z16&gt;0,(AA16/Z16)^2,0)+IF(AB16&gt;0,(AC16/AB16)^2,0))</f>
        <v>0</v>
      </c>
      <c r="AJ16" s="1575" t="s">
        <v>133</v>
      </c>
      <c r="AK16" s="1575"/>
      <c r="AL16" s="1575"/>
      <c r="AM16" s="1575"/>
      <c r="AN16" s="1575"/>
      <c r="AO16" s="1575"/>
      <c r="AP16" s="765">
        <f t="shared" si="14"/>
        <v>0.18151916060000001</v>
      </c>
      <c r="AQ16" s="766">
        <f t="shared" si="15"/>
        <v>853</v>
      </c>
      <c r="AR16" s="767">
        <f t="shared" si="16"/>
        <v>0.99</v>
      </c>
      <c r="AS16" s="766">
        <f t="shared" si="17"/>
        <v>804</v>
      </c>
      <c r="AT16" s="766">
        <f t="shared" si="18"/>
        <v>423</v>
      </c>
      <c r="AU16" s="766">
        <f t="shared" si="19"/>
        <v>9.9000000000000005E-2</v>
      </c>
      <c r="AV16" s="766">
        <f t="shared" si="20"/>
        <v>420</v>
      </c>
      <c r="AW16" s="766">
        <f t="shared" si="21"/>
        <v>384</v>
      </c>
      <c r="AZ16" s="1575" t="s">
        <v>133</v>
      </c>
      <c r="BA16" s="1575"/>
      <c r="BB16" s="1575"/>
      <c r="BC16" s="1575"/>
      <c r="BD16" s="1575"/>
      <c r="BE16" s="1575"/>
      <c r="BF16" s="765">
        <f t="shared" si="22"/>
        <v>0.18151916060000001</v>
      </c>
      <c r="BG16" s="781">
        <f t="shared" si="23"/>
        <v>384</v>
      </c>
      <c r="BH16" s="782">
        <f t="shared" si="24"/>
        <v>0</v>
      </c>
      <c r="BI16" s="783">
        <f t="shared" si="24"/>
        <v>0</v>
      </c>
      <c r="BJ16" s="782">
        <f t="shared" si="25"/>
        <v>69.70335767040001</v>
      </c>
      <c r="BK16" s="782">
        <f t="shared" si="26"/>
        <v>0</v>
      </c>
    </row>
    <row r="17" spans="1:63" ht="15" thickBot="1">
      <c r="A17" s="1782" t="s">
        <v>340</v>
      </c>
      <c r="B17" s="1782" t="s">
        <v>341</v>
      </c>
      <c r="C17" s="1782" t="s">
        <v>342</v>
      </c>
      <c r="D17" s="1785" t="s">
        <v>344</v>
      </c>
      <c r="E17" s="1785"/>
      <c r="F17" s="1785"/>
      <c r="G17" s="745">
        <f>'Statewide Ref Dispostion'!AN11</f>
        <v>1.1642391561073492E-2</v>
      </c>
      <c r="H17" s="1290">
        <f>'Statewide Ref Dispostion'!AP11</f>
        <v>0.71163415254117457</v>
      </c>
      <c r="I17" s="125">
        <f t="shared" si="0"/>
        <v>853</v>
      </c>
      <c r="J17" s="863">
        <f t="shared" si="1"/>
        <v>75.656474204663084</v>
      </c>
      <c r="K17" s="119">
        <v>1</v>
      </c>
      <c r="L17" s="859">
        <v>0</v>
      </c>
      <c r="M17" s="125">
        <f t="shared" si="3"/>
        <v>853</v>
      </c>
      <c r="N17" s="863">
        <f t="shared" si="4"/>
        <v>75.656474204663084</v>
      </c>
      <c r="O17" s="422">
        <f>$G$6</f>
        <v>724</v>
      </c>
      <c r="P17" s="866">
        <f>$H$6</f>
        <v>120</v>
      </c>
      <c r="Q17" s="522">
        <v>1</v>
      </c>
      <c r="R17" s="1022">
        <v>0</v>
      </c>
      <c r="S17" s="125">
        <f t="shared" si="5"/>
        <v>724</v>
      </c>
      <c r="T17" s="863">
        <f t="shared" si="6"/>
        <v>120</v>
      </c>
      <c r="U17" s="147">
        <f t="shared" si="7"/>
        <v>129</v>
      </c>
      <c r="V17" s="753">
        <f t="shared" si="8"/>
        <v>141.858739910803</v>
      </c>
      <c r="W17" s="147">
        <v>1</v>
      </c>
      <c r="X17" s="147">
        <f t="shared" si="9"/>
        <v>129</v>
      </c>
      <c r="Y17" s="753">
        <f t="shared" si="10"/>
        <v>141.858739910803</v>
      </c>
      <c r="Z17" s="147">
        <f t="shared" si="11"/>
        <v>1.5018685113784804</v>
      </c>
      <c r="AA17" s="753">
        <f t="shared" si="12"/>
        <v>1.8229611278318032</v>
      </c>
      <c r="AB17" s="147">
        <f t="shared" si="2"/>
        <v>1.5018685113784804</v>
      </c>
      <c r="AC17" s="753">
        <f t="shared" si="13"/>
        <v>1.8895604676881792</v>
      </c>
      <c r="AD17" s="299">
        <f>IF(Z17&gt;0,AB17/Z17,0)</f>
        <v>1</v>
      </c>
      <c r="AE17" s="752">
        <f t="shared" ref="AE17:AE36" si="27">AD17*SQRT(IF(Z17&gt;0,(AA17/Z17)^2,0)+IF(AB17&gt;0,(AC17/AB17)^2,0))</f>
        <v>1.7482033503781094</v>
      </c>
      <c r="AJ17" s="1583" t="s">
        <v>340</v>
      </c>
      <c r="AK17" s="1592" t="s">
        <v>341</v>
      </c>
      <c r="AL17" s="1592" t="s">
        <v>342</v>
      </c>
      <c r="AM17" s="1575" t="s">
        <v>344</v>
      </c>
      <c r="AN17" s="1575"/>
      <c r="AO17" s="1575"/>
      <c r="AP17" s="765">
        <f t="shared" si="14"/>
        <v>1.1642391561073492E-2</v>
      </c>
      <c r="AQ17" s="766">
        <f t="shared" si="15"/>
        <v>853</v>
      </c>
      <c r="AR17" s="767">
        <f t="shared" si="16"/>
        <v>1</v>
      </c>
      <c r="AS17" s="766">
        <f t="shared" si="17"/>
        <v>853</v>
      </c>
      <c r="AT17" s="766">
        <f t="shared" si="18"/>
        <v>724</v>
      </c>
      <c r="AU17" s="766">
        <f t="shared" si="19"/>
        <v>1</v>
      </c>
      <c r="AV17" s="766">
        <f t="shared" si="20"/>
        <v>724</v>
      </c>
      <c r="AW17" s="766">
        <f t="shared" si="21"/>
        <v>129</v>
      </c>
      <c r="AZ17" s="1583" t="s">
        <v>340</v>
      </c>
      <c r="BA17" s="1592" t="s">
        <v>341</v>
      </c>
      <c r="BB17" s="1592" t="s">
        <v>342</v>
      </c>
      <c r="BC17" s="1575" t="s">
        <v>344</v>
      </c>
      <c r="BD17" s="1575"/>
      <c r="BE17" s="1575"/>
      <c r="BF17" s="765">
        <f t="shared" si="22"/>
        <v>1.1642391561073492E-2</v>
      </c>
      <c r="BG17" s="781">
        <f t="shared" si="23"/>
        <v>129</v>
      </c>
      <c r="BH17" s="782">
        <f t="shared" si="24"/>
        <v>1</v>
      </c>
      <c r="BI17" s="783">
        <f t="shared" si="24"/>
        <v>129</v>
      </c>
      <c r="BJ17" s="782">
        <f t="shared" si="25"/>
        <v>1.5018685113784804</v>
      </c>
      <c r="BK17" s="782">
        <f t="shared" si="26"/>
        <v>1.5018685113784804</v>
      </c>
    </row>
    <row r="18" spans="1:63" ht="15" thickBot="1">
      <c r="A18" s="1782"/>
      <c r="B18" s="1782"/>
      <c r="C18" s="1782"/>
      <c r="D18" s="1785" t="s">
        <v>345</v>
      </c>
      <c r="E18" s="1785"/>
      <c r="F18" s="1785"/>
      <c r="G18" s="745">
        <f>'Statewide Ref Dispostion'!AN12</f>
        <v>9.9035037548185934E-2</v>
      </c>
      <c r="H18" s="1290">
        <f>'Statewide Ref Dispostion'!AP12</f>
        <v>5.1404435522609502</v>
      </c>
      <c r="I18" s="125">
        <f t="shared" si="0"/>
        <v>853</v>
      </c>
      <c r="J18" s="863">
        <f t="shared" si="1"/>
        <v>75.656474204663084</v>
      </c>
      <c r="K18" s="119">
        <v>1</v>
      </c>
      <c r="L18" s="859">
        <v>0</v>
      </c>
      <c r="M18" s="125">
        <f t="shared" si="3"/>
        <v>853</v>
      </c>
      <c r="N18" s="863">
        <f t="shared" si="4"/>
        <v>75.656474204663084</v>
      </c>
      <c r="O18" s="125">
        <f>$G$7</f>
        <v>660</v>
      </c>
      <c r="P18" s="863">
        <f>$H$7</f>
        <v>92</v>
      </c>
      <c r="Q18" s="522">
        <v>1</v>
      </c>
      <c r="R18" s="1022">
        <v>0</v>
      </c>
      <c r="S18" s="125">
        <f t="shared" si="5"/>
        <v>660</v>
      </c>
      <c r="T18" s="863">
        <f t="shared" si="6"/>
        <v>92</v>
      </c>
      <c r="U18" s="147">
        <f t="shared" si="7"/>
        <v>193</v>
      </c>
      <c r="V18" s="753">
        <f t="shared" si="8"/>
        <v>119.11298035512691</v>
      </c>
      <c r="W18" s="147">
        <v>1</v>
      </c>
      <c r="X18" s="147">
        <f t="shared" si="9"/>
        <v>193</v>
      </c>
      <c r="Y18" s="753">
        <f t="shared" si="10"/>
        <v>119.11298035512691</v>
      </c>
      <c r="Z18" s="147">
        <f t="shared" si="11"/>
        <v>19.113762246799887</v>
      </c>
      <c r="AA18" s="753">
        <f t="shared" si="12"/>
        <v>17.997226026961261</v>
      </c>
      <c r="AB18" s="147">
        <f t="shared" si="2"/>
        <v>19.113762246799887</v>
      </c>
      <c r="AC18" s="753">
        <f t="shared" si="13"/>
        <v>15.413676611963012</v>
      </c>
      <c r="AD18" s="299">
        <f t="shared" ref="AD18:AD36" si="28">IF(Z18&gt;0,AB18/Z18,0)</f>
        <v>1</v>
      </c>
      <c r="AE18" s="752">
        <f t="shared" si="27"/>
        <v>1.2397141942766026</v>
      </c>
      <c r="AJ18" s="1583"/>
      <c r="AK18" s="1593"/>
      <c r="AL18" s="1593"/>
      <c r="AM18" s="1575" t="s">
        <v>345</v>
      </c>
      <c r="AN18" s="1575"/>
      <c r="AO18" s="1575"/>
      <c r="AP18" s="765">
        <f t="shared" si="14"/>
        <v>9.9035037548185934E-2</v>
      </c>
      <c r="AQ18" s="766">
        <f t="shared" si="15"/>
        <v>853</v>
      </c>
      <c r="AR18" s="767">
        <f t="shared" si="16"/>
        <v>1</v>
      </c>
      <c r="AS18" s="766">
        <f t="shared" si="17"/>
        <v>853</v>
      </c>
      <c r="AT18" s="766">
        <f t="shared" si="18"/>
        <v>660</v>
      </c>
      <c r="AU18" s="766">
        <f t="shared" si="19"/>
        <v>1</v>
      </c>
      <c r="AV18" s="766">
        <f t="shared" si="20"/>
        <v>660</v>
      </c>
      <c r="AW18" s="766">
        <f t="shared" si="21"/>
        <v>193</v>
      </c>
      <c r="AZ18" s="1583"/>
      <c r="BA18" s="1593"/>
      <c r="BB18" s="1593"/>
      <c r="BC18" s="1575" t="s">
        <v>345</v>
      </c>
      <c r="BD18" s="1575"/>
      <c r="BE18" s="1575"/>
      <c r="BF18" s="765">
        <f t="shared" si="22"/>
        <v>9.9035037548185934E-2</v>
      </c>
      <c r="BG18" s="781">
        <f t="shared" si="23"/>
        <v>193</v>
      </c>
      <c r="BH18" s="782">
        <f t="shared" si="24"/>
        <v>1</v>
      </c>
      <c r="BI18" s="783">
        <f t="shared" si="24"/>
        <v>193</v>
      </c>
      <c r="BJ18" s="782">
        <f t="shared" si="25"/>
        <v>19.113762246799887</v>
      </c>
      <c r="BK18" s="782">
        <f t="shared" si="26"/>
        <v>19.113762246799887</v>
      </c>
    </row>
    <row r="19" spans="1:63" ht="15" thickBot="1">
      <c r="A19" s="1782"/>
      <c r="B19" s="1782"/>
      <c r="C19" s="1782"/>
      <c r="D19" s="1785" t="s">
        <v>346</v>
      </c>
      <c r="E19" s="1785"/>
      <c r="F19" s="1785"/>
      <c r="G19" s="745">
        <f>'Statewide Ref Dispostion'!AN13</f>
        <v>8.4221478298931493E-2</v>
      </c>
      <c r="H19" s="1290">
        <f>'Statewide Ref Dispostion'!AP13</f>
        <v>4.388512052775968</v>
      </c>
      <c r="I19" s="125">
        <f t="shared" si="0"/>
        <v>853</v>
      </c>
      <c r="J19" s="863">
        <f t="shared" si="1"/>
        <v>75.656474204663084</v>
      </c>
      <c r="K19" s="119">
        <v>1</v>
      </c>
      <c r="L19" s="859">
        <v>0</v>
      </c>
      <c r="M19" s="125">
        <f t="shared" si="3"/>
        <v>853</v>
      </c>
      <c r="N19" s="863">
        <f t="shared" si="4"/>
        <v>75.656474204663084</v>
      </c>
      <c r="O19" s="422">
        <f>$G$8</f>
        <v>452</v>
      </c>
      <c r="P19" s="866"/>
      <c r="Q19" s="522">
        <v>1</v>
      </c>
      <c r="R19" s="1022">
        <v>0</v>
      </c>
      <c r="S19" s="125">
        <f t="shared" si="5"/>
        <v>452</v>
      </c>
      <c r="T19" s="863">
        <f t="shared" si="6"/>
        <v>0</v>
      </c>
      <c r="U19" s="147">
        <f t="shared" si="7"/>
        <v>401</v>
      </c>
      <c r="V19" s="753">
        <f t="shared" si="8"/>
        <v>75.656474204663084</v>
      </c>
      <c r="W19" s="147">
        <v>1</v>
      </c>
      <c r="X19" s="147">
        <f t="shared" si="9"/>
        <v>401</v>
      </c>
      <c r="Y19" s="753">
        <f t="shared" si="10"/>
        <v>75.656474204663084</v>
      </c>
      <c r="Z19" s="147">
        <f t="shared" si="11"/>
        <v>33.772812797871531</v>
      </c>
      <c r="AA19" s="753">
        <f t="shared" si="12"/>
        <v>22.910352393670358</v>
      </c>
      <c r="AB19" s="147">
        <f t="shared" si="2"/>
        <v>33.772812797871531</v>
      </c>
      <c r="AC19" s="753">
        <f t="shared" si="13"/>
        <v>18.715992317642439</v>
      </c>
      <c r="AD19" s="299">
        <f t="shared" si="28"/>
        <v>1</v>
      </c>
      <c r="AE19" s="752">
        <f t="shared" si="27"/>
        <v>0.87595062569098403</v>
      </c>
      <c r="AJ19" s="1583"/>
      <c r="AK19" s="1593"/>
      <c r="AL19" s="1593"/>
      <c r="AM19" s="1575" t="s">
        <v>346</v>
      </c>
      <c r="AN19" s="1575"/>
      <c r="AO19" s="1575"/>
      <c r="AP19" s="765">
        <f t="shared" si="14"/>
        <v>8.4221478298931493E-2</v>
      </c>
      <c r="AQ19" s="766">
        <f t="shared" si="15"/>
        <v>853</v>
      </c>
      <c r="AR19" s="767">
        <f t="shared" si="16"/>
        <v>1</v>
      </c>
      <c r="AS19" s="766">
        <f t="shared" si="17"/>
        <v>853</v>
      </c>
      <c r="AT19" s="766">
        <f t="shared" si="18"/>
        <v>452</v>
      </c>
      <c r="AU19" s="766">
        <f t="shared" si="19"/>
        <v>1</v>
      </c>
      <c r="AV19" s="766">
        <f t="shared" si="20"/>
        <v>452</v>
      </c>
      <c r="AW19" s="766">
        <f t="shared" si="21"/>
        <v>401</v>
      </c>
      <c r="AZ19" s="1583"/>
      <c r="BA19" s="1593"/>
      <c r="BB19" s="1593"/>
      <c r="BC19" s="1575" t="s">
        <v>346</v>
      </c>
      <c r="BD19" s="1575"/>
      <c r="BE19" s="1575"/>
      <c r="BF19" s="765">
        <f t="shared" si="22"/>
        <v>8.4221478298931493E-2</v>
      </c>
      <c r="BG19" s="781">
        <f t="shared" si="23"/>
        <v>401</v>
      </c>
      <c r="BH19" s="782">
        <f t="shared" si="24"/>
        <v>1</v>
      </c>
      <c r="BI19" s="783">
        <f t="shared" si="24"/>
        <v>401</v>
      </c>
      <c r="BJ19" s="782">
        <f t="shared" si="25"/>
        <v>33.772812797871531</v>
      </c>
      <c r="BK19" s="782">
        <f t="shared" si="26"/>
        <v>33.772812797871531</v>
      </c>
    </row>
    <row r="20" spans="1:63" ht="15" thickBot="1">
      <c r="A20" s="1782"/>
      <c r="B20" s="1782"/>
      <c r="C20" s="1782"/>
      <c r="D20" s="1789" t="s">
        <v>494</v>
      </c>
      <c r="E20" s="1789"/>
      <c r="F20" s="798" t="s">
        <v>509</v>
      </c>
      <c r="G20" s="745">
        <f>'Statewide Ref Dispostion'!AN14</f>
        <v>5.1842432725117987E-2</v>
      </c>
      <c r="H20" s="1290">
        <f>'Statewide Ref Dispostion'!AP14</f>
        <v>2.7432112796196733</v>
      </c>
      <c r="I20" s="125">
        <f t="shared" si="0"/>
        <v>853</v>
      </c>
      <c r="J20" s="863">
        <f t="shared" si="1"/>
        <v>75.656474204663084</v>
      </c>
      <c r="K20" s="119">
        <v>1</v>
      </c>
      <c r="L20" s="859">
        <v>0</v>
      </c>
      <c r="M20" s="125">
        <f t="shared" si="3"/>
        <v>853</v>
      </c>
      <c r="N20" s="863">
        <f t="shared" si="4"/>
        <v>75.656474204663084</v>
      </c>
      <c r="O20" s="125">
        <f>(724*0.6)+(815*0.4)</f>
        <v>760.4</v>
      </c>
      <c r="P20" s="863">
        <f>$H$5</f>
        <v>75.656474204663084</v>
      </c>
      <c r="Q20" s="522">
        <v>1</v>
      </c>
      <c r="R20" s="1022">
        <v>0</v>
      </c>
      <c r="S20" s="125">
        <f t="shared" si="5"/>
        <v>760.4</v>
      </c>
      <c r="T20" s="863">
        <f t="shared" si="6"/>
        <v>75.656474204663084</v>
      </c>
      <c r="U20" s="147">
        <f t="shared" si="7"/>
        <v>92.600000000000023</v>
      </c>
      <c r="V20" s="753">
        <f t="shared" si="8"/>
        <v>106.99441190156475</v>
      </c>
      <c r="W20" s="147">
        <v>1</v>
      </c>
      <c r="X20" s="147">
        <f t="shared" si="9"/>
        <v>92.600000000000023</v>
      </c>
      <c r="Y20" s="753">
        <f t="shared" si="10"/>
        <v>106.99441190156475</v>
      </c>
      <c r="Z20" s="147">
        <f t="shared" si="11"/>
        <v>4.8006092703459267</v>
      </c>
      <c r="AA20" s="753">
        <f t="shared" si="12"/>
        <v>5.7516039309152713</v>
      </c>
      <c r="AB20" s="147">
        <f t="shared" si="2"/>
        <v>4.8006092703459267</v>
      </c>
      <c r="AC20" s="753">
        <f t="shared" si="13"/>
        <v>6.1008390366705738</v>
      </c>
      <c r="AD20" s="299">
        <f t="shared" si="28"/>
        <v>1</v>
      </c>
      <c r="AE20" s="752">
        <f t="shared" si="27"/>
        <v>1.7465658427764252</v>
      </c>
      <c r="AJ20" s="1583"/>
      <c r="AK20" s="1593"/>
      <c r="AL20" s="1593"/>
      <c r="AM20" s="1605" t="s">
        <v>494</v>
      </c>
      <c r="AN20" s="1605"/>
      <c r="AO20" s="774" t="s">
        <v>509</v>
      </c>
      <c r="AP20" s="765">
        <f t="shared" si="14"/>
        <v>5.1842432725117987E-2</v>
      </c>
      <c r="AQ20" s="766">
        <f t="shared" si="15"/>
        <v>853</v>
      </c>
      <c r="AR20" s="767">
        <f t="shared" si="16"/>
        <v>1</v>
      </c>
      <c r="AS20" s="766">
        <f t="shared" si="17"/>
        <v>853</v>
      </c>
      <c r="AT20" s="766">
        <f t="shared" si="18"/>
        <v>760.4</v>
      </c>
      <c r="AU20" s="766">
        <f t="shared" si="19"/>
        <v>1</v>
      </c>
      <c r="AV20" s="766">
        <f t="shared" si="20"/>
        <v>760.4</v>
      </c>
      <c r="AW20" s="766">
        <f t="shared" si="21"/>
        <v>92.600000000000023</v>
      </c>
      <c r="AZ20" s="1583"/>
      <c r="BA20" s="1593"/>
      <c r="BB20" s="1593"/>
      <c r="BC20" s="1605" t="s">
        <v>494</v>
      </c>
      <c r="BD20" s="1605"/>
      <c r="BE20" s="774" t="s">
        <v>509</v>
      </c>
      <c r="BF20" s="765">
        <f t="shared" si="22"/>
        <v>5.1842432725117987E-2</v>
      </c>
      <c r="BG20" s="781">
        <f t="shared" si="23"/>
        <v>92.600000000000023</v>
      </c>
      <c r="BH20" s="782">
        <f t="shared" si="24"/>
        <v>1</v>
      </c>
      <c r="BI20" s="783">
        <f t="shared" si="24"/>
        <v>92.600000000000023</v>
      </c>
      <c r="BJ20" s="782">
        <f t="shared" si="25"/>
        <v>4.8006092703459267</v>
      </c>
      <c r="BK20" s="782">
        <f t="shared" si="26"/>
        <v>4.8006092703459267</v>
      </c>
    </row>
    <row r="21" spans="1:63" ht="15" thickBot="1">
      <c r="A21" s="1782"/>
      <c r="B21" s="1782"/>
      <c r="C21" s="1782"/>
      <c r="D21" s="1789"/>
      <c r="E21" s="1789"/>
      <c r="F21" s="798" t="s">
        <v>511</v>
      </c>
      <c r="G21" s="745">
        <f>'Statewide Ref Dispostion'!AN15</f>
        <v>1.4023771042849197E-2</v>
      </c>
      <c r="H21" s="1290">
        <f>'Statewide Ref Dispostion'!AP15</f>
        <v>0.82062945896532768</v>
      </c>
      <c r="I21" s="125">
        <f t="shared" si="0"/>
        <v>853</v>
      </c>
      <c r="J21" s="863">
        <f t="shared" si="1"/>
        <v>75.656474204663084</v>
      </c>
      <c r="K21" s="119">
        <f>'Part KIU-KU'!V$25</f>
        <v>0.95104949999999999</v>
      </c>
      <c r="L21" s="859">
        <f>'Part KIU-KU'!X$25</f>
        <v>2.2906200000000002E-2</v>
      </c>
      <c r="M21" s="125">
        <f t="shared" si="3"/>
        <v>811.24522349999995</v>
      </c>
      <c r="N21" s="863">
        <f t="shared" si="4"/>
        <v>71.953317256101116</v>
      </c>
      <c r="O21" s="125">
        <v>0</v>
      </c>
      <c r="P21" s="863"/>
      <c r="Q21" s="119">
        <f>'Part KIU-KU'!V$25</f>
        <v>0.95104949999999999</v>
      </c>
      <c r="R21" s="859">
        <f>'Part KIU-KU'!X$25</f>
        <v>2.2906200000000002E-2</v>
      </c>
      <c r="S21" s="125">
        <f t="shared" si="5"/>
        <v>0</v>
      </c>
      <c r="T21" s="863">
        <f t="shared" si="6"/>
        <v>0</v>
      </c>
      <c r="U21" s="147">
        <f t="shared" si="7"/>
        <v>811.24522349999995</v>
      </c>
      <c r="V21" s="753">
        <f t="shared" si="8"/>
        <v>71.953317256101116</v>
      </c>
      <c r="W21" s="147">
        <v>1</v>
      </c>
      <c r="X21" s="147">
        <f t="shared" si="9"/>
        <v>811.24522349999995</v>
      </c>
      <c r="Y21" s="753">
        <f t="shared" si="10"/>
        <v>71.953317256101116</v>
      </c>
      <c r="Z21" s="147">
        <f t="shared" si="11"/>
        <v>11.376717273969025</v>
      </c>
      <c r="AA21" s="753">
        <f t="shared" si="12"/>
        <v>7.4699148550036645</v>
      </c>
      <c r="AB21" s="147">
        <f t="shared" si="2"/>
        <v>11.376717273969025</v>
      </c>
      <c r="AC21" s="753">
        <f t="shared" si="13"/>
        <v>6.7333549735664882</v>
      </c>
      <c r="AD21" s="299">
        <f t="shared" si="28"/>
        <v>1</v>
      </c>
      <c r="AE21" s="752">
        <f t="shared" si="27"/>
        <v>0.8839741495191783</v>
      </c>
      <c r="AJ21" s="1583"/>
      <c r="AK21" s="1593"/>
      <c r="AL21" s="1594"/>
      <c r="AM21" s="1605"/>
      <c r="AN21" s="1605"/>
      <c r="AO21" s="774" t="s">
        <v>511</v>
      </c>
      <c r="AP21" s="765">
        <f t="shared" si="14"/>
        <v>1.4023771042849197E-2</v>
      </c>
      <c r="AQ21" s="766">
        <f t="shared" si="15"/>
        <v>853</v>
      </c>
      <c r="AR21" s="767">
        <f t="shared" si="16"/>
        <v>0.95104949999999999</v>
      </c>
      <c r="AS21" s="766">
        <f t="shared" si="17"/>
        <v>811.24522349999995</v>
      </c>
      <c r="AT21" s="766">
        <f t="shared" si="18"/>
        <v>0</v>
      </c>
      <c r="AU21" s="766">
        <f t="shared" si="19"/>
        <v>0.95104949999999999</v>
      </c>
      <c r="AV21" s="766">
        <f t="shared" si="20"/>
        <v>0</v>
      </c>
      <c r="AW21" s="766">
        <f t="shared" si="21"/>
        <v>811.24522349999995</v>
      </c>
      <c r="AZ21" s="1583"/>
      <c r="BA21" s="1593"/>
      <c r="BB21" s="1594"/>
      <c r="BC21" s="1605"/>
      <c r="BD21" s="1605"/>
      <c r="BE21" s="774" t="s">
        <v>511</v>
      </c>
      <c r="BF21" s="765">
        <f t="shared" si="22"/>
        <v>1.4023771042849197E-2</v>
      </c>
      <c r="BG21" s="781">
        <f t="shared" si="23"/>
        <v>811.24522349999995</v>
      </c>
      <c r="BH21" s="782">
        <f t="shared" si="24"/>
        <v>1</v>
      </c>
      <c r="BI21" s="783">
        <f t="shared" si="24"/>
        <v>811.24522349999995</v>
      </c>
      <c r="BJ21" s="782">
        <f t="shared" si="25"/>
        <v>11.376717273969025</v>
      </c>
      <c r="BK21" s="782">
        <f t="shared" si="26"/>
        <v>11.376717273969025</v>
      </c>
    </row>
    <row r="22" spans="1:63" ht="15" thickBot="1">
      <c r="A22" s="1782"/>
      <c r="B22" s="1782"/>
      <c r="C22" s="1786" t="s">
        <v>343</v>
      </c>
      <c r="D22" s="1787" t="s">
        <v>344</v>
      </c>
      <c r="E22" s="1787"/>
      <c r="F22" s="1787"/>
      <c r="G22" s="746">
        <f>'Statewide Ref Dispostion'!AN16</f>
        <v>4.3865910057667235E-3</v>
      </c>
      <c r="H22" s="1291">
        <f>'Statewide Ref Dispostion'!AP16</f>
        <v>0.31215528612774668</v>
      </c>
      <c r="I22" s="125">
        <f t="shared" si="0"/>
        <v>853</v>
      </c>
      <c r="J22" s="863">
        <f t="shared" si="1"/>
        <v>75.656474204663084</v>
      </c>
      <c r="K22" s="119">
        <f>'Part KIU-KU'!V$25</f>
        <v>0.95104949999999999</v>
      </c>
      <c r="L22" s="859">
        <f>'Part KIU-KU'!X$25</f>
        <v>2.2906200000000002E-2</v>
      </c>
      <c r="M22" s="125">
        <f t="shared" si="3"/>
        <v>811.24522349999995</v>
      </c>
      <c r="N22" s="863">
        <f t="shared" si="4"/>
        <v>71.953317256101116</v>
      </c>
      <c r="O22" s="422">
        <f>$G$6</f>
        <v>724</v>
      </c>
      <c r="P22" s="866">
        <f>$H$6</f>
        <v>120</v>
      </c>
      <c r="Q22" s="119">
        <f>'Part KIU-KU'!V$25</f>
        <v>0.95104949999999999</v>
      </c>
      <c r="R22" s="859">
        <f>'Part KIU-KU'!J$25</f>
        <v>3.5229200000000002E-2</v>
      </c>
      <c r="S22" s="125">
        <f t="shared" si="5"/>
        <v>688.55983800000001</v>
      </c>
      <c r="T22" s="863">
        <f t="shared" si="6"/>
        <v>114.1262250150473</v>
      </c>
      <c r="U22" s="147">
        <f t="shared" si="7"/>
        <v>122.68538549999994</v>
      </c>
      <c r="V22" s="753">
        <f t="shared" si="8"/>
        <v>134.91506624666627</v>
      </c>
      <c r="W22" s="147">
        <v>1</v>
      </c>
      <c r="X22" s="147">
        <f t="shared" si="9"/>
        <v>122.68538549999994</v>
      </c>
      <c r="Y22" s="753">
        <f t="shared" si="10"/>
        <v>134.91506624666627</v>
      </c>
      <c r="Z22" s="147">
        <f t="shared" si="11"/>
        <v>0.53817060857332288</v>
      </c>
      <c r="AA22" s="753">
        <f t="shared" si="12"/>
        <v>0.68202919446832855</v>
      </c>
      <c r="AB22" s="147">
        <f t="shared" si="2"/>
        <v>0.53817060857332288</v>
      </c>
      <c r="AC22" s="753">
        <f t="shared" si="13"/>
        <v>0.70492042675227806</v>
      </c>
      <c r="AD22" s="299">
        <f t="shared" si="28"/>
        <v>1</v>
      </c>
      <c r="AE22" s="752">
        <f t="shared" si="27"/>
        <v>1.8225726840324421</v>
      </c>
      <c r="AJ22" s="1583"/>
      <c r="AK22" s="1593"/>
      <c r="AL22" s="1592" t="s">
        <v>343</v>
      </c>
      <c r="AM22" s="1575" t="s">
        <v>344</v>
      </c>
      <c r="AN22" s="1575"/>
      <c r="AO22" s="1575"/>
      <c r="AP22" s="765">
        <f t="shared" si="14"/>
        <v>4.3865910057667235E-3</v>
      </c>
      <c r="AQ22" s="766">
        <f t="shared" si="15"/>
        <v>853</v>
      </c>
      <c r="AR22" s="767">
        <f t="shared" si="16"/>
        <v>0.95104949999999999</v>
      </c>
      <c r="AS22" s="766">
        <f t="shared" si="17"/>
        <v>811.24522349999995</v>
      </c>
      <c r="AT22" s="766">
        <f t="shared" si="18"/>
        <v>724</v>
      </c>
      <c r="AU22" s="766">
        <f t="shared" si="19"/>
        <v>0.95104949999999999</v>
      </c>
      <c r="AV22" s="766">
        <f t="shared" si="20"/>
        <v>688.55983800000001</v>
      </c>
      <c r="AW22" s="766">
        <f t="shared" si="21"/>
        <v>122.68538549999994</v>
      </c>
      <c r="AZ22" s="1583"/>
      <c r="BA22" s="1593"/>
      <c r="BB22" s="1592" t="s">
        <v>343</v>
      </c>
      <c r="BC22" s="1575" t="s">
        <v>344</v>
      </c>
      <c r="BD22" s="1575"/>
      <c r="BE22" s="1575"/>
      <c r="BF22" s="765">
        <f t="shared" si="22"/>
        <v>4.3865910057667235E-3</v>
      </c>
      <c r="BG22" s="781">
        <f t="shared" si="23"/>
        <v>122.68538549999994</v>
      </c>
      <c r="BH22" s="782">
        <f t="shared" si="24"/>
        <v>1</v>
      </c>
      <c r="BI22" s="783">
        <f t="shared" si="24"/>
        <v>122.68538549999994</v>
      </c>
      <c r="BJ22" s="782">
        <f t="shared" si="25"/>
        <v>0.53817060857332288</v>
      </c>
      <c r="BK22" s="782">
        <f t="shared" si="26"/>
        <v>0.53817060857332288</v>
      </c>
    </row>
    <row r="23" spans="1:63" ht="15" thickBot="1">
      <c r="A23" s="1782"/>
      <c r="B23" s="1782"/>
      <c r="C23" s="1786"/>
      <c r="D23" s="1787" t="s">
        <v>345</v>
      </c>
      <c r="E23" s="1787"/>
      <c r="F23" s="1787"/>
      <c r="G23" s="746">
        <f>'Statewide Ref Dispostion'!AN17</f>
        <v>2.0012557038668416E-2</v>
      </c>
      <c r="H23" s="1291">
        <f>'Statewide Ref Dispostion'!AP17</f>
        <v>1.1081772867721706</v>
      </c>
      <c r="I23" s="125">
        <f t="shared" si="0"/>
        <v>853</v>
      </c>
      <c r="J23" s="863">
        <f t="shared" si="1"/>
        <v>75.656474204663084</v>
      </c>
      <c r="K23" s="119">
        <f>'Part KIU-KU'!V$25</f>
        <v>0.95104949999999999</v>
      </c>
      <c r="L23" s="859">
        <f>'Part KIU-KU'!X$25</f>
        <v>2.2906200000000002E-2</v>
      </c>
      <c r="M23" s="125">
        <f t="shared" si="3"/>
        <v>811.24522349999995</v>
      </c>
      <c r="N23" s="863">
        <f t="shared" si="4"/>
        <v>71.953317256101116</v>
      </c>
      <c r="O23" s="125">
        <f>$G$7</f>
        <v>660</v>
      </c>
      <c r="P23" s="863">
        <f>$H$7</f>
        <v>92</v>
      </c>
      <c r="Q23" s="119">
        <f>'Part KIU-KU'!V$25</f>
        <v>0.95104949999999999</v>
      </c>
      <c r="R23" s="859">
        <f>'Part KIU-KU'!J$25</f>
        <v>3.5229200000000002E-2</v>
      </c>
      <c r="S23" s="125">
        <f t="shared" si="5"/>
        <v>627.69267000000002</v>
      </c>
      <c r="T23" s="863">
        <f t="shared" si="6"/>
        <v>87.496862938278412</v>
      </c>
      <c r="U23" s="147">
        <f t="shared" si="7"/>
        <v>183.55255349999993</v>
      </c>
      <c r="V23" s="753">
        <f t="shared" si="8"/>
        <v>113.28274753110915</v>
      </c>
      <c r="W23" s="147">
        <v>1</v>
      </c>
      <c r="X23" s="147">
        <f t="shared" si="9"/>
        <v>183.55255349999993</v>
      </c>
      <c r="Y23" s="753">
        <f t="shared" si="10"/>
        <v>113.28274753110915</v>
      </c>
      <c r="Z23" s="147">
        <f t="shared" si="11"/>
        <v>3.6733559465119847</v>
      </c>
      <c r="AA23" s="753">
        <f t="shared" si="12"/>
        <v>3.5306224974725735</v>
      </c>
      <c r="AB23" s="147">
        <f t="shared" si="2"/>
        <v>3.6733559465119847</v>
      </c>
      <c r="AC23" s="753">
        <f t="shared" si="13"/>
        <v>3.0458419113199136</v>
      </c>
      <c r="AD23" s="299">
        <f t="shared" si="28"/>
        <v>1</v>
      </c>
      <c r="AE23" s="752">
        <f t="shared" si="27"/>
        <v>1.2693787051456831</v>
      </c>
      <c r="AJ23" s="1583"/>
      <c r="AK23" s="1593"/>
      <c r="AL23" s="1593"/>
      <c r="AM23" s="1575" t="s">
        <v>345</v>
      </c>
      <c r="AN23" s="1575"/>
      <c r="AO23" s="1575"/>
      <c r="AP23" s="765">
        <f t="shared" si="14"/>
        <v>2.0012557038668416E-2</v>
      </c>
      <c r="AQ23" s="766">
        <f t="shared" si="15"/>
        <v>853</v>
      </c>
      <c r="AR23" s="767">
        <f t="shared" si="16"/>
        <v>0.95104949999999999</v>
      </c>
      <c r="AS23" s="766">
        <f t="shared" si="17"/>
        <v>811.24522349999995</v>
      </c>
      <c r="AT23" s="766">
        <f t="shared" si="18"/>
        <v>660</v>
      </c>
      <c r="AU23" s="766">
        <f t="shared" si="19"/>
        <v>0.95104949999999999</v>
      </c>
      <c r="AV23" s="766">
        <f t="shared" si="20"/>
        <v>627.69267000000002</v>
      </c>
      <c r="AW23" s="766">
        <f t="shared" si="21"/>
        <v>183.55255349999993</v>
      </c>
      <c r="AZ23" s="1583"/>
      <c r="BA23" s="1593"/>
      <c r="BB23" s="1593"/>
      <c r="BC23" s="1575" t="s">
        <v>345</v>
      </c>
      <c r="BD23" s="1575"/>
      <c r="BE23" s="1575"/>
      <c r="BF23" s="765">
        <f t="shared" si="22"/>
        <v>2.0012557038668416E-2</v>
      </c>
      <c r="BG23" s="781">
        <f t="shared" si="23"/>
        <v>183.55255349999993</v>
      </c>
      <c r="BH23" s="782">
        <f t="shared" si="24"/>
        <v>1</v>
      </c>
      <c r="BI23" s="783">
        <f t="shared" si="24"/>
        <v>183.55255349999993</v>
      </c>
      <c r="BJ23" s="782">
        <f t="shared" si="25"/>
        <v>3.6733559465119847</v>
      </c>
      <c r="BK23" s="782">
        <f t="shared" si="26"/>
        <v>3.6733559465119847</v>
      </c>
    </row>
    <row r="24" spans="1:63" ht="15" thickBot="1">
      <c r="A24" s="1782"/>
      <c r="B24" s="1782"/>
      <c r="C24" s="1786"/>
      <c r="D24" s="1787" t="s">
        <v>346</v>
      </c>
      <c r="E24" s="1787"/>
      <c r="F24" s="1787"/>
      <c r="G24" s="746">
        <f>'Statewide Ref Dispostion'!AN18</f>
        <v>1.2032597130769086E-2</v>
      </c>
      <c r="H24" s="1291">
        <f>'Statewide Ref Dispostion'!AP18</f>
        <v>0.69844116090033626</v>
      </c>
      <c r="I24" s="125">
        <f t="shared" si="0"/>
        <v>853</v>
      </c>
      <c r="J24" s="863">
        <f t="shared" si="1"/>
        <v>75.656474204663084</v>
      </c>
      <c r="K24" s="119">
        <f>'Part KIU-KU'!V$25</f>
        <v>0.95104949999999999</v>
      </c>
      <c r="L24" s="859">
        <f>'Part KIU-KU'!X$25</f>
        <v>2.2906200000000002E-2</v>
      </c>
      <c r="M24" s="125">
        <f t="shared" si="3"/>
        <v>811.24522349999995</v>
      </c>
      <c r="N24" s="863">
        <f t="shared" si="4"/>
        <v>71.953317256101116</v>
      </c>
      <c r="O24" s="422">
        <f>$G$8</f>
        <v>452</v>
      </c>
      <c r="P24" s="866"/>
      <c r="Q24" s="119">
        <f>'Part KIU-KU'!V$25</f>
        <v>0.95104949999999999</v>
      </c>
      <c r="R24" s="859">
        <f>'Part KIU-KU'!J$25</f>
        <v>3.5229200000000002E-2</v>
      </c>
      <c r="S24" s="125">
        <f t="shared" si="5"/>
        <v>429.87437399999999</v>
      </c>
      <c r="T24" s="863">
        <f t="shared" si="6"/>
        <v>0.159235984</v>
      </c>
      <c r="U24" s="147">
        <f t="shared" si="7"/>
        <v>381.37084949999996</v>
      </c>
      <c r="V24" s="753">
        <f t="shared" si="8"/>
        <v>71.953493454145359</v>
      </c>
      <c r="W24" s="147">
        <v>1</v>
      </c>
      <c r="X24" s="147">
        <f t="shared" si="9"/>
        <v>381.37084949999996</v>
      </c>
      <c r="Y24" s="753">
        <f t="shared" si="10"/>
        <v>71.953493454145359</v>
      </c>
      <c r="Z24" s="147">
        <f t="shared" si="11"/>
        <v>4.5888817894526683</v>
      </c>
      <c r="AA24" s="753">
        <f t="shared" si="12"/>
        <v>3.3268652839065136</v>
      </c>
      <c r="AB24" s="147">
        <f t="shared" si="2"/>
        <v>4.5888817894526683</v>
      </c>
      <c r="AC24" s="753">
        <f t="shared" si="13"/>
        <v>2.8008256655938064</v>
      </c>
      <c r="AD24" s="299">
        <f t="shared" si="28"/>
        <v>1</v>
      </c>
      <c r="AE24" s="752">
        <f t="shared" si="27"/>
        <v>0.94769677583403689</v>
      </c>
      <c r="AJ24" s="1583"/>
      <c r="AK24" s="1593"/>
      <c r="AL24" s="1593"/>
      <c r="AM24" s="1575" t="s">
        <v>346</v>
      </c>
      <c r="AN24" s="1575"/>
      <c r="AO24" s="1575"/>
      <c r="AP24" s="765">
        <f t="shared" si="14"/>
        <v>1.2032597130769086E-2</v>
      </c>
      <c r="AQ24" s="766">
        <f t="shared" si="15"/>
        <v>853</v>
      </c>
      <c r="AR24" s="767">
        <f t="shared" si="16"/>
        <v>0.95104949999999999</v>
      </c>
      <c r="AS24" s="766">
        <f t="shared" si="17"/>
        <v>811.24522349999995</v>
      </c>
      <c r="AT24" s="766">
        <f t="shared" si="18"/>
        <v>452</v>
      </c>
      <c r="AU24" s="766">
        <f t="shared" si="19"/>
        <v>0.95104949999999999</v>
      </c>
      <c r="AV24" s="766">
        <f t="shared" si="20"/>
        <v>429.87437399999999</v>
      </c>
      <c r="AW24" s="766">
        <f t="shared" si="21"/>
        <v>381.37084949999996</v>
      </c>
      <c r="AZ24" s="1583"/>
      <c r="BA24" s="1593"/>
      <c r="BB24" s="1593"/>
      <c r="BC24" s="1575" t="s">
        <v>346</v>
      </c>
      <c r="BD24" s="1575"/>
      <c r="BE24" s="1575"/>
      <c r="BF24" s="765">
        <f t="shared" si="22"/>
        <v>1.2032597130769086E-2</v>
      </c>
      <c r="BG24" s="781">
        <f t="shared" si="23"/>
        <v>381.37084949999996</v>
      </c>
      <c r="BH24" s="782">
        <f t="shared" si="24"/>
        <v>1</v>
      </c>
      <c r="BI24" s="783">
        <f t="shared" si="24"/>
        <v>381.37084949999996</v>
      </c>
      <c r="BJ24" s="782">
        <f t="shared" si="25"/>
        <v>4.5888817894526683</v>
      </c>
      <c r="BK24" s="782">
        <f t="shared" si="26"/>
        <v>4.5888817894526683</v>
      </c>
    </row>
    <row r="25" spans="1:63" ht="15" thickBot="1">
      <c r="A25" s="1782"/>
      <c r="B25" s="1782"/>
      <c r="C25" s="1786"/>
      <c r="D25" s="1787" t="s">
        <v>347</v>
      </c>
      <c r="E25" s="1787"/>
      <c r="F25" s="1787"/>
      <c r="G25" s="746">
        <f>'Statewide Ref Dispostion'!AN19</f>
        <v>3.6340924882971623E-2</v>
      </c>
      <c r="H25" s="1291">
        <f>'Statewide Ref Dispostion'!AP19</f>
        <v>1.91660078991883</v>
      </c>
      <c r="I25" s="125">
        <f t="shared" si="0"/>
        <v>853</v>
      </c>
      <c r="J25" s="863">
        <f t="shared" si="1"/>
        <v>75.656474204663084</v>
      </c>
      <c r="K25" s="119">
        <f>'Part KIU-KU'!V$25</f>
        <v>0.95104949999999999</v>
      </c>
      <c r="L25" s="859">
        <f>'Part KIU-KU'!X$25</f>
        <v>2.2906200000000002E-2</v>
      </c>
      <c r="M25" s="125">
        <f t="shared" si="3"/>
        <v>811.24522349999995</v>
      </c>
      <c r="N25" s="863">
        <f t="shared" si="4"/>
        <v>71.953317256101116</v>
      </c>
      <c r="O25" s="125">
        <v>0</v>
      </c>
      <c r="P25" s="863"/>
      <c r="Q25" s="119">
        <f>'Part KIU-KU'!V$25</f>
        <v>0.95104949999999999</v>
      </c>
      <c r="R25" s="859">
        <f>'Part KIU-KU'!J$25</f>
        <v>3.5229200000000002E-2</v>
      </c>
      <c r="S25" s="125">
        <f t="shared" si="5"/>
        <v>0</v>
      </c>
      <c r="T25" s="863">
        <f t="shared" si="6"/>
        <v>0</v>
      </c>
      <c r="U25" s="147">
        <f t="shared" si="7"/>
        <v>811.24522349999995</v>
      </c>
      <c r="V25" s="753">
        <f t="shared" si="8"/>
        <v>71.953317256101116</v>
      </c>
      <c r="W25" s="147">
        <v>1</v>
      </c>
      <c r="X25" s="147">
        <f t="shared" si="9"/>
        <v>811.24522349999995</v>
      </c>
      <c r="Y25" s="753">
        <f t="shared" si="10"/>
        <v>71.953317256101116</v>
      </c>
      <c r="Z25" s="147">
        <f t="shared" si="11"/>
        <v>29.481401728883025</v>
      </c>
      <c r="AA25" s="753">
        <f t="shared" si="12"/>
        <v>17.856093789435601</v>
      </c>
      <c r="AB25" s="147">
        <f t="shared" si="2"/>
        <v>29.481401728883025</v>
      </c>
      <c r="AC25" s="753">
        <f t="shared" si="13"/>
        <v>15.766676259271755</v>
      </c>
      <c r="AD25" s="299">
        <f t="shared" si="28"/>
        <v>1</v>
      </c>
      <c r="AE25" s="752">
        <f t="shared" si="27"/>
        <v>0.8079924745851057</v>
      </c>
      <c r="AJ25" s="1583"/>
      <c r="AK25" s="1594"/>
      <c r="AL25" s="1594"/>
      <c r="AM25" s="1575" t="s">
        <v>347</v>
      </c>
      <c r="AN25" s="1575"/>
      <c r="AO25" s="1575"/>
      <c r="AP25" s="765">
        <f t="shared" si="14"/>
        <v>3.6340924882971623E-2</v>
      </c>
      <c r="AQ25" s="766">
        <f t="shared" si="15"/>
        <v>853</v>
      </c>
      <c r="AR25" s="767">
        <f t="shared" si="16"/>
        <v>0.95104949999999999</v>
      </c>
      <c r="AS25" s="766">
        <f t="shared" si="17"/>
        <v>811.24522349999995</v>
      </c>
      <c r="AT25" s="766">
        <f t="shared" si="18"/>
        <v>0</v>
      </c>
      <c r="AU25" s="766">
        <f t="shared" si="19"/>
        <v>0.95104949999999999</v>
      </c>
      <c r="AV25" s="766">
        <f t="shared" si="20"/>
        <v>0</v>
      </c>
      <c r="AW25" s="766">
        <f t="shared" si="21"/>
        <v>811.24522349999995</v>
      </c>
      <c r="AZ25" s="1583"/>
      <c r="BA25" s="1594"/>
      <c r="BB25" s="1594"/>
      <c r="BC25" s="1575" t="s">
        <v>347</v>
      </c>
      <c r="BD25" s="1575"/>
      <c r="BE25" s="1575"/>
      <c r="BF25" s="765">
        <f t="shared" si="22"/>
        <v>3.6340924882971623E-2</v>
      </c>
      <c r="BG25" s="781">
        <f t="shared" si="23"/>
        <v>811.24522349999995</v>
      </c>
      <c r="BH25" s="782">
        <f t="shared" si="24"/>
        <v>1</v>
      </c>
      <c r="BI25" s="783">
        <f t="shared" si="24"/>
        <v>811.24522349999995</v>
      </c>
      <c r="BJ25" s="782">
        <f t="shared" si="25"/>
        <v>29.481401728883025</v>
      </c>
      <c r="BK25" s="782">
        <f t="shared" si="26"/>
        <v>29.481401728883025</v>
      </c>
    </row>
    <row r="26" spans="1:63" ht="15.6" thickBot="1">
      <c r="A26" s="1782"/>
      <c r="B26" s="1748" t="s">
        <v>88</v>
      </c>
      <c r="C26" s="1748" t="s">
        <v>348</v>
      </c>
      <c r="D26" s="1748" t="s">
        <v>342</v>
      </c>
      <c r="E26" s="1750" t="s">
        <v>345</v>
      </c>
      <c r="F26" s="1750"/>
      <c r="G26" s="747">
        <f>'Statewide Ref Dispostion'!AN20</f>
        <v>7.4297916790629318E-2</v>
      </c>
      <c r="H26" s="1292">
        <f>'Statewide Ref Dispostion'!AP20</f>
        <v>5.8945527307264713</v>
      </c>
      <c r="I26" s="125">
        <f t="shared" si="0"/>
        <v>853</v>
      </c>
      <c r="J26" s="863">
        <f t="shared" si="1"/>
        <v>75.656474204663084</v>
      </c>
      <c r="K26" s="119">
        <v>1</v>
      </c>
      <c r="L26" s="859">
        <v>0</v>
      </c>
      <c r="M26" s="125">
        <f t="shared" si="3"/>
        <v>853</v>
      </c>
      <c r="N26" s="863">
        <f t="shared" si="4"/>
        <v>75.656474204663084</v>
      </c>
      <c r="O26" s="125">
        <f>$G$7</f>
        <v>660</v>
      </c>
      <c r="P26" s="863">
        <f>$H$7</f>
        <v>92</v>
      </c>
      <c r="Q26" s="522">
        <v>1</v>
      </c>
      <c r="R26" s="1022">
        <v>0</v>
      </c>
      <c r="S26" s="125">
        <f t="shared" si="5"/>
        <v>660</v>
      </c>
      <c r="T26" s="863">
        <f t="shared" si="6"/>
        <v>92</v>
      </c>
      <c r="U26" s="147">
        <f t="shared" si="7"/>
        <v>193</v>
      </c>
      <c r="V26" s="753">
        <f t="shared" si="8"/>
        <v>119.11298035512691</v>
      </c>
      <c r="W26" s="147">
        <v>1</v>
      </c>
      <c r="X26" s="147">
        <f t="shared" si="9"/>
        <v>193</v>
      </c>
      <c r="Y26" s="753">
        <f t="shared" si="10"/>
        <v>119.11298035512691</v>
      </c>
      <c r="Z26" s="147">
        <f t="shared" si="11"/>
        <v>14.339497940591459</v>
      </c>
      <c r="AA26" s="753">
        <f t="shared" si="12"/>
        <v>16.010209370050166</v>
      </c>
      <c r="AB26" s="147">
        <f t="shared" si="2"/>
        <v>14.339497940591459</v>
      </c>
      <c r="AC26" s="753">
        <f t="shared" si="13"/>
        <v>14.413335173495131</v>
      </c>
      <c r="AD26" s="299">
        <f t="shared" si="28"/>
        <v>1</v>
      </c>
      <c r="AE26" s="752">
        <f t="shared" si="27"/>
        <v>1.5023055975058108</v>
      </c>
      <c r="AJ26" s="1583"/>
      <c r="AK26" s="1592" t="s">
        <v>88</v>
      </c>
      <c r="AL26" s="1583" t="s">
        <v>348</v>
      </c>
      <c r="AM26" s="1592" t="s">
        <v>342</v>
      </c>
      <c r="AN26" s="1584" t="s">
        <v>345</v>
      </c>
      <c r="AO26" s="1586"/>
      <c r="AP26" s="765">
        <f t="shared" si="14"/>
        <v>7.4297916790629318E-2</v>
      </c>
      <c r="AQ26" s="766">
        <f t="shared" si="15"/>
        <v>853</v>
      </c>
      <c r="AR26" s="767">
        <f t="shared" si="16"/>
        <v>1</v>
      </c>
      <c r="AS26" s="766">
        <f t="shared" si="17"/>
        <v>853</v>
      </c>
      <c r="AT26" s="766">
        <f t="shared" si="18"/>
        <v>660</v>
      </c>
      <c r="AU26" s="766">
        <f t="shared" si="19"/>
        <v>1</v>
      </c>
      <c r="AV26" s="766">
        <f t="shared" si="20"/>
        <v>660</v>
      </c>
      <c r="AW26" s="766">
        <f t="shared" si="21"/>
        <v>193</v>
      </c>
      <c r="AZ26" s="1583"/>
      <c r="BA26" s="1592" t="s">
        <v>88</v>
      </c>
      <c r="BB26" s="1583" t="s">
        <v>348</v>
      </c>
      <c r="BC26" s="1592" t="s">
        <v>342</v>
      </c>
      <c r="BD26" s="1584" t="s">
        <v>345</v>
      </c>
      <c r="BE26" s="1586"/>
      <c r="BF26" s="765">
        <f t="shared" si="22"/>
        <v>7.4297916790629318E-2</v>
      </c>
      <c r="BG26" s="781">
        <f t="shared" si="23"/>
        <v>193</v>
      </c>
      <c r="BH26" s="782">
        <f t="shared" si="24"/>
        <v>1</v>
      </c>
      <c r="BI26" s="783">
        <f t="shared" si="24"/>
        <v>193</v>
      </c>
      <c r="BJ26" s="782">
        <f t="shared" si="25"/>
        <v>14.339497940591459</v>
      </c>
      <c r="BK26" s="782">
        <f t="shared" si="26"/>
        <v>14.339497940591459</v>
      </c>
    </row>
    <row r="27" spans="1:63" ht="15" thickBot="1">
      <c r="A27" s="1782"/>
      <c r="B27" s="1748"/>
      <c r="C27" s="1748"/>
      <c r="D27" s="1748"/>
      <c r="E27" s="1747" t="s">
        <v>346</v>
      </c>
      <c r="F27" s="1747"/>
      <c r="G27" s="747">
        <f>'Statewide Ref Dispostion'!AN21</f>
        <v>5.6951714683935721E-2</v>
      </c>
      <c r="H27" s="1292">
        <f>'Statewide Ref Dispostion'!AP21</f>
        <v>4.5430947206500267</v>
      </c>
      <c r="I27" s="125">
        <f t="shared" si="0"/>
        <v>853</v>
      </c>
      <c r="J27" s="863">
        <f t="shared" si="1"/>
        <v>75.656474204663084</v>
      </c>
      <c r="K27" s="119">
        <v>1</v>
      </c>
      <c r="L27" s="859">
        <v>0</v>
      </c>
      <c r="M27" s="125">
        <f t="shared" si="3"/>
        <v>853</v>
      </c>
      <c r="N27" s="863">
        <f t="shared" si="4"/>
        <v>75.656474204663084</v>
      </c>
      <c r="O27" s="422">
        <f>$G$8</f>
        <v>452</v>
      </c>
      <c r="P27" s="866"/>
      <c r="Q27" s="522">
        <v>1</v>
      </c>
      <c r="R27" s="1022">
        <v>0</v>
      </c>
      <c r="S27" s="125">
        <f t="shared" si="5"/>
        <v>452</v>
      </c>
      <c r="T27" s="863">
        <f t="shared" si="6"/>
        <v>0</v>
      </c>
      <c r="U27" s="147">
        <f t="shared" si="7"/>
        <v>401</v>
      </c>
      <c r="V27" s="753">
        <f t="shared" si="8"/>
        <v>75.656474204663084</v>
      </c>
      <c r="W27" s="147">
        <v>1</v>
      </c>
      <c r="X27" s="147">
        <f t="shared" si="9"/>
        <v>401</v>
      </c>
      <c r="Y27" s="753">
        <f t="shared" si="10"/>
        <v>75.656474204663084</v>
      </c>
      <c r="Z27" s="147">
        <f t="shared" si="11"/>
        <v>22.837637588258225</v>
      </c>
      <c r="AA27" s="753">
        <f t="shared" si="12"/>
        <v>20.743447876935075</v>
      </c>
      <c r="AB27" s="147">
        <f t="shared" si="2"/>
        <v>22.837637588258225</v>
      </c>
      <c r="AC27" s="753">
        <f t="shared" si="13"/>
        <v>18.720418234096371</v>
      </c>
      <c r="AD27" s="299">
        <f t="shared" si="28"/>
        <v>1</v>
      </c>
      <c r="AE27" s="752">
        <f t="shared" si="27"/>
        <v>1.2234982215212975</v>
      </c>
      <c r="AJ27" s="1583"/>
      <c r="AK27" s="1593"/>
      <c r="AL27" s="1583"/>
      <c r="AM27" s="1593"/>
      <c r="AN27" s="1587" t="s">
        <v>346</v>
      </c>
      <c r="AO27" s="1587"/>
      <c r="AP27" s="765">
        <f t="shared" si="14"/>
        <v>5.6951714683935721E-2</v>
      </c>
      <c r="AQ27" s="766">
        <f t="shared" si="15"/>
        <v>853</v>
      </c>
      <c r="AR27" s="767">
        <f t="shared" si="16"/>
        <v>1</v>
      </c>
      <c r="AS27" s="766">
        <f t="shared" si="17"/>
        <v>853</v>
      </c>
      <c r="AT27" s="766">
        <f t="shared" si="18"/>
        <v>452</v>
      </c>
      <c r="AU27" s="766">
        <f t="shared" si="19"/>
        <v>1</v>
      </c>
      <c r="AV27" s="766">
        <f t="shared" si="20"/>
        <v>452</v>
      </c>
      <c r="AW27" s="766">
        <f t="shared" si="21"/>
        <v>401</v>
      </c>
      <c r="AZ27" s="1583"/>
      <c r="BA27" s="1593"/>
      <c r="BB27" s="1583"/>
      <c r="BC27" s="1593"/>
      <c r="BD27" s="1587" t="s">
        <v>346</v>
      </c>
      <c r="BE27" s="1587"/>
      <c r="BF27" s="765">
        <f t="shared" si="22"/>
        <v>5.6951714683935721E-2</v>
      </c>
      <c r="BG27" s="781">
        <f t="shared" si="23"/>
        <v>401</v>
      </c>
      <c r="BH27" s="782">
        <f t="shared" si="24"/>
        <v>1</v>
      </c>
      <c r="BI27" s="783">
        <f t="shared" si="24"/>
        <v>401</v>
      </c>
      <c r="BJ27" s="782">
        <f t="shared" si="25"/>
        <v>22.837637588258225</v>
      </c>
      <c r="BK27" s="782">
        <f t="shared" si="26"/>
        <v>22.837637588258225</v>
      </c>
    </row>
    <row r="28" spans="1:63" ht="15" thickBot="1">
      <c r="A28" s="1782"/>
      <c r="B28" s="1748"/>
      <c r="C28" s="1748"/>
      <c r="D28" s="1748"/>
      <c r="E28" s="1741" t="s">
        <v>495</v>
      </c>
      <c r="F28" s="801" t="s">
        <v>509</v>
      </c>
      <c r="G28" s="747">
        <f>'Statewide Ref Dispostion'!AN22</f>
        <v>3.297520714939247E-2</v>
      </c>
      <c r="H28" s="1292">
        <f>'Statewide Ref Dispostion'!AP22</f>
        <v>2.6751857303164588</v>
      </c>
      <c r="I28" s="125">
        <f t="shared" si="0"/>
        <v>853</v>
      </c>
      <c r="J28" s="863">
        <f t="shared" si="1"/>
        <v>75.656474204663084</v>
      </c>
      <c r="K28" s="119">
        <v>1</v>
      </c>
      <c r="L28" s="859">
        <v>0</v>
      </c>
      <c r="M28" s="125">
        <f t="shared" si="3"/>
        <v>853</v>
      </c>
      <c r="N28" s="863">
        <f t="shared" si="4"/>
        <v>75.656474204663084</v>
      </c>
      <c r="O28" s="125">
        <f>(724*0.6)+(815*0.4)</f>
        <v>760.4</v>
      </c>
      <c r="P28" s="863">
        <f>$H$5</f>
        <v>75.656474204663084</v>
      </c>
      <c r="Q28" s="522">
        <v>1</v>
      </c>
      <c r="R28" s="1022">
        <v>0</v>
      </c>
      <c r="S28" s="125">
        <f t="shared" si="5"/>
        <v>760.4</v>
      </c>
      <c r="T28" s="863">
        <f t="shared" si="6"/>
        <v>75.656474204663084</v>
      </c>
      <c r="U28" s="147">
        <f t="shared" si="7"/>
        <v>92.600000000000023</v>
      </c>
      <c r="V28" s="753">
        <f t="shared" si="8"/>
        <v>106.99441190156475</v>
      </c>
      <c r="W28" s="147">
        <v>1</v>
      </c>
      <c r="X28" s="147">
        <f t="shared" si="9"/>
        <v>92.600000000000023</v>
      </c>
      <c r="Y28" s="753">
        <f t="shared" si="10"/>
        <v>106.99441190156475</v>
      </c>
      <c r="Z28" s="147">
        <f t="shared" si="11"/>
        <v>3.0535041820337434</v>
      </c>
      <c r="AA28" s="753">
        <f t="shared" si="12"/>
        <v>4.1121635337090456</v>
      </c>
      <c r="AB28" s="147">
        <f t="shared" si="2"/>
        <v>3.0535041820337434</v>
      </c>
      <c r="AC28" s="753">
        <f t="shared" si="13"/>
        <v>4.3109815810291003</v>
      </c>
      <c r="AD28" s="299">
        <f t="shared" si="28"/>
        <v>1</v>
      </c>
      <c r="AE28" s="752">
        <f t="shared" si="27"/>
        <v>1.9511098131426914</v>
      </c>
      <c r="AJ28" s="1583"/>
      <c r="AK28" s="1593"/>
      <c r="AL28" s="1583"/>
      <c r="AM28" s="1593"/>
      <c r="AN28" s="1595" t="s">
        <v>495</v>
      </c>
      <c r="AO28" s="774" t="s">
        <v>509</v>
      </c>
      <c r="AP28" s="765">
        <f t="shared" si="14"/>
        <v>3.297520714939247E-2</v>
      </c>
      <c r="AQ28" s="766">
        <f t="shared" si="15"/>
        <v>853</v>
      </c>
      <c r="AR28" s="767">
        <f t="shared" si="16"/>
        <v>1</v>
      </c>
      <c r="AS28" s="766">
        <f t="shared" si="17"/>
        <v>853</v>
      </c>
      <c r="AT28" s="766">
        <f t="shared" si="18"/>
        <v>760.4</v>
      </c>
      <c r="AU28" s="766">
        <f t="shared" si="19"/>
        <v>1</v>
      </c>
      <c r="AV28" s="766">
        <f t="shared" si="20"/>
        <v>760.4</v>
      </c>
      <c r="AW28" s="766">
        <f t="shared" si="21"/>
        <v>92.600000000000023</v>
      </c>
      <c r="AZ28" s="1583"/>
      <c r="BA28" s="1593"/>
      <c r="BB28" s="1583"/>
      <c r="BC28" s="1593"/>
      <c r="BD28" s="1595" t="s">
        <v>495</v>
      </c>
      <c r="BE28" s="774" t="s">
        <v>509</v>
      </c>
      <c r="BF28" s="765">
        <f t="shared" si="22"/>
        <v>3.297520714939247E-2</v>
      </c>
      <c r="BG28" s="781">
        <f t="shared" si="23"/>
        <v>92.600000000000023</v>
      </c>
      <c r="BH28" s="782">
        <f t="shared" si="24"/>
        <v>1</v>
      </c>
      <c r="BI28" s="783">
        <f t="shared" si="24"/>
        <v>92.600000000000023</v>
      </c>
      <c r="BJ28" s="782">
        <f t="shared" si="25"/>
        <v>3.0535041820337434</v>
      </c>
      <c r="BK28" s="782">
        <f t="shared" si="26"/>
        <v>3.0535041820337434</v>
      </c>
    </row>
    <row r="29" spans="1:63" ht="15" thickBot="1">
      <c r="A29" s="1782"/>
      <c r="B29" s="1748"/>
      <c r="C29" s="1748"/>
      <c r="D29" s="1748"/>
      <c r="E29" s="1741"/>
      <c r="F29" s="801" t="s">
        <v>511</v>
      </c>
      <c r="G29" s="747">
        <f>'Statewide Ref Dispostion'!AN23</f>
        <v>2.8933750518450236E-3</v>
      </c>
      <c r="H29" s="1292">
        <f>'Statewide Ref Dispostion'!AP23</f>
        <v>0.31005092682723129</v>
      </c>
      <c r="I29" s="125">
        <f t="shared" si="0"/>
        <v>853</v>
      </c>
      <c r="J29" s="863">
        <f t="shared" si="1"/>
        <v>75.656474204663084</v>
      </c>
      <c r="K29" s="119">
        <f>'Part KIU-KU'!V$25</f>
        <v>0.95104949999999999</v>
      </c>
      <c r="L29" s="859">
        <f>'Part KIU-KU'!X$25</f>
        <v>2.2906200000000002E-2</v>
      </c>
      <c r="M29" s="125">
        <f t="shared" si="3"/>
        <v>811.24522349999995</v>
      </c>
      <c r="N29" s="863">
        <f t="shared" si="4"/>
        <v>71.953317256101116</v>
      </c>
      <c r="O29" s="125">
        <v>0</v>
      </c>
      <c r="P29" s="863"/>
      <c r="Q29" s="119">
        <f>'Part KIU-KU'!V$25</f>
        <v>0.95104949999999999</v>
      </c>
      <c r="R29" s="859">
        <f>'Part KIU-KU'!X$25</f>
        <v>2.2906200000000002E-2</v>
      </c>
      <c r="S29" s="125">
        <f t="shared" si="5"/>
        <v>0</v>
      </c>
      <c r="T29" s="863">
        <f t="shared" si="6"/>
        <v>0</v>
      </c>
      <c r="U29" s="147">
        <f t="shared" si="7"/>
        <v>811.24522349999995</v>
      </c>
      <c r="V29" s="753">
        <f t="shared" si="8"/>
        <v>71.953317256101116</v>
      </c>
      <c r="W29" s="147">
        <v>1</v>
      </c>
      <c r="X29" s="147">
        <f t="shared" si="9"/>
        <v>811.24522349999995</v>
      </c>
      <c r="Y29" s="753">
        <f t="shared" si="10"/>
        <v>71.953317256101116</v>
      </c>
      <c r="Z29" s="147">
        <f t="shared" si="11"/>
        <v>2.3472366906033399</v>
      </c>
      <c r="AA29" s="753">
        <f t="shared" si="12"/>
        <v>2.6106065006516861</v>
      </c>
      <c r="AB29" s="147">
        <f t="shared" si="2"/>
        <v>2.3472366906033399</v>
      </c>
      <c r="AC29" s="753">
        <f t="shared" si="13"/>
        <v>2.5238744346190836</v>
      </c>
      <c r="AD29" s="299">
        <f t="shared" si="28"/>
        <v>1</v>
      </c>
      <c r="AE29" s="752">
        <f t="shared" si="27"/>
        <v>1.546986825224022</v>
      </c>
      <c r="AJ29" s="1583"/>
      <c r="AK29" s="1593"/>
      <c r="AL29" s="1583"/>
      <c r="AM29" s="1594"/>
      <c r="AN29" s="1596"/>
      <c r="AO29" s="774" t="s">
        <v>511</v>
      </c>
      <c r="AP29" s="765">
        <f t="shared" si="14"/>
        <v>2.8933750518450236E-3</v>
      </c>
      <c r="AQ29" s="766">
        <f t="shared" si="15"/>
        <v>853</v>
      </c>
      <c r="AR29" s="767">
        <f t="shared" si="16"/>
        <v>0.95104949999999999</v>
      </c>
      <c r="AS29" s="766">
        <f t="shared" si="17"/>
        <v>811.24522349999995</v>
      </c>
      <c r="AT29" s="766">
        <f t="shared" si="18"/>
        <v>0</v>
      </c>
      <c r="AU29" s="766">
        <f t="shared" si="19"/>
        <v>0.95104949999999999</v>
      </c>
      <c r="AV29" s="766">
        <f t="shared" si="20"/>
        <v>0</v>
      </c>
      <c r="AW29" s="766">
        <f t="shared" si="21"/>
        <v>811.24522349999995</v>
      </c>
      <c r="AZ29" s="1583"/>
      <c r="BA29" s="1593"/>
      <c r="BB29" s="1583"/>
      <c r="BC29" s="1594"/>
      <c r="BD29" s="1596"/>
      <c r="BE29" s="774" t="s">
        <v>511</v>
      </c>
      <c r="BF29" s="765">
        <f t="shared" si="22"/>
        <v>2.8933750518450236E-3</v>
      </c>
      <c r="BG29" s="781">
        <f t="shared" si="23"/>
        <v>811.24522349999995</v>
      </c>
      <c r="BH29" s="782">
        <f t="shared" si="24"/>
        <v>1</v>
      </c>
      <c r="BI29" s="783">
        <f t="shared" si="24"/>
        <v>811.24522349999995</v>
      </c>
      <c r="BJ29" s="782">
        <f t="shared" si="25"/>
        <v>2.3472366906033399</v>
      </c>
      <c r="BK29" s="782">
        <f t="shared" si="26"/>
        <v>2.3472366906033399</v>
      </c>
    </row>
    <row r="30" spans="1:63" ht="15.6" thickBot="1">
      <c r="A30" s="1782"/>
      <c r="B30" s="1748"/>
      <c r="C30" s="1748"/>
      <c r="D30" s="1788" t="s">
        <v>343</v>
      </c>
      <c r="E30" s="1783" t="s">
        <v>345</v>
      </c>
      <c r="F30" s="1783"/>
      <c r="G30" s="748">
        <f>'Statewide Ref Dispostion'!AN24</f>
        <v>9.318003797670742E-3</v>
      </c>
      <c r="H30" s="1293">
        <f>'Statewide Ref Dispostion'!AP24</f>
        <v>0.77282016983257151</v>
      </c>
      <c r="I30" s="125">
        <f t="shared" si="0"/>
        <v>853</v>
      </c>
      <c r="J30" s="863">
        <f t="shared" si="1"/>
        <v>75.656474204663084</v>
      </c>
      <c r="K30" s="119">
        <f>'Part KIU-KU'!V$25</f>
        <v>0.95104949999999999</v>
      </c>
      <c r="L30" s="859">
        <f>'Part KIU-KU'!X$25</f>
        <v>2.2906200000000002E-2</v>
      </c>
      <c r="M30" s="125">
        <f t="shared" si="3"/>
        <v>811.24522349999995</v>
      </c>
      <c r="N30" s="863">
        <f t="shared" si="4"/>
        <v>71.953317256101116</v>
      </c>
      <c r="O30" s="125">
        <f>$G$7</f>
        <v>660</v>
      </c>
      <c r="P30" s="863">
        <f>$H$7</f>
        <v>92</v>
      </c>
      <c r="Q30" s="119">
        <f>'Part KIU-KU'!V$25</f>
        <v>0.95104949999999999</v>
      </c>
      <c r="R30" s="859">
        <f>'Part KIU-KU'!J$25</f>
        <v>3.5229200000000002E-2</v>
      </c>
      <c r="S30" s="125">
        <f t="shared" si="5"/>
        <v>627.69267000000002</v>
      </c>
      <c r="T30" s="863">
        <f t="shared" si="6"/>
        <v>87.496862938278412</v>
      </c>
      <c r="U30" s="147">
        <f t="shared" si="7"/>
        <v>183.55255349999993</v>
      </c>
      <c r="V30" s="753">
        <f t="shared" si="8"/>
        <v>113.28274753110915</v>
      </c>
      <c r="W30" s="147">
        <v>1</v>
      </c>
      <c r="X30" s="147">
        <f t="shared" si="9"/>
        <v>183.55255349999993</v>
      </c>
      <c r="Y30" s="753">
        <f t="shared" si="10"/>
        <v>113.28274753110915</v>
      </c>
      <c r="Z30" s="147">
        <f t="shared" si="11"/>
        <v>1.7103433905851615</v>
      </c>
      <c r="AA30" s="753">
        <f t="shared" si="12"/>
        <v>1.9538721106466475</v>
      </c>
      <c r="AB30" s="147">
        <f t="shared" si="2"/>
        <v>1.7103433905851615</v>
      </c>
      <c r="AC30" s="753">
        <f t="shared" si="13"/>
        <v>1.7681789233011347</v>
      </c>
      <c r="AD30" s="299">
        <f t="shared" si="28"/>
        <v>1</v>
      </c>
      <c r="AE30" s="752">
        <f t="shared" si="27"/>
        <v>1.5407203647203549</v>
      </c>
      <c r="AJ30" s="1583"/>
      <c r="AK30" s="1593"/>
      <c r="AL30" s="1583"/>
      <c r="AM30" s="1597" t="s">
        <v>343</v>
      </c>
      <c r="AN30" s="1600" t="s">
        <v>345</v>
      </c>
      <c r="AO30" s="1601"/>
      <c r="AP30" s="765">
        <f t="shared" si="14"/>
        <v>9.318003797670742E-3</v>
      </c>
      <c r="AQ30" s="766">
        <f t="shared" si="15"/>
        <v>853</v>
      </c>
      <c r="AR30" s="767">
        <f t="shared" si="16"/>
        <v>0.95104949999999999</v>
      </c>
      <c r="AS30" s="766">
        <f t="shared" si="17"/>
        <v>811.24522349999995</v>
      </c>
      <c r="AT30" s="766">
        <f t="shared" si="18"/>
        <v>660</v>
      </c>
      <c r="AU30" s="766">
        <f t="shared" si="19"/>
        <v>0.95104949999999999</v>
      </c>
      <c r="AV30" s="766">
        <f t="shared" si="20"/>
        <v>627.69267000000002</v>
      </c>
      <c r="AW30" s="766">
        <f t="shared" si="21"/>
        <v>183.55255349999993</v>
      </c>
      <c r="AZ30" s="1583"/>
      <c r="BA30" s="1593"/>
      <c r="BB30" s="1583"/>
      <c r="BC30" s="1597" t="s">
        <v>343</v>
      </c>
      <c r="BD30" s="1600" t="s">
        <v>345</v>
      </c>
      <c r="BE30" s="1601"/>
      <c r="BF30" s="765">
        <f t="shared" si="22"/>
        <v>9.318003797670742E-3</v>
      </c>
      <c r="BG30" s="781">
        <f t="shared" si="23"/>
        <v>183.55255349999993</v>
      </c>
      <c r="BH30" s="782">
        <f t="shared" si="24"/>
        <v>1</v>
      </c>
      <c r="BI30" s="783">
        <f t="shared" si="24"/>
        <v>183.55255349999993</v>
      </c>
      <c r="BJ30" s="782">
        <f t="shared" si="25"/>
        <v>1.7103433905851615</v>
      </c>
      <c r="BK30" s="782">
        <f t="shared" si="26"/>
        <v>1.7103433905851615</v>
      </c>
    </row>
    <row r="31" spans="1:63" ht="15" thickBot="1">
      <c r="A31" s="1782"/>
      <c r="B31" s="1748"/>
      <c r="C31" s="1748"/>
      <c r="D31" s="1788"/>
      <c r="E31" s="1783" t="s">
        <v>346</v>
      </c>
      <c r="F31" s="1783"/>
      <c r="G31" s="748">
        <f>'Statewide Ref Dispostion'!AN25</f>
        <v>5.3098210650899032E-3</v>
      </c>
      <c r="H31" s="1293">
        <f>'Statewide Ref Dispostion'!AP25</f>
        <v>0.47994651336711391</v>
      </c>
      <c r="I31" s="125">
        <f t="shared" si="0"/>
        <v>853</v>
      </c>
      <c r="J31" s="863">
        <f t="shared" si="1"/>
        <v>75.656474204663084</v>
      </c>
      <c r="K31" s="119">
        <f>'Part KIU-KU'!V$25</f>
        <v>0.95104949999999999</v>
      </c>
      <c r="L31" s="859">
        <f>'Part KIU-KU'!X$25</f>
        <v>2.2906200000000002E-2</v>
      </c>
      <c r="M31" s="125">
        <f t="shared" si="3"/>
        <v>811.24522349999995</v>
      </c>
      <c r="N31" s="863">
        <f t="shared" si="4"/>
        <v>71.953317256101116</v>
      </c>
      <c r="O31" s="422">
        <f>$G$8</f>
        <v>452</v>
      </c>
      <c r="P31" s="866"/>
      <c r="Q31" s="119">
        <f>'Part KIU-KU'!V$25</f>
        <v>0.95104949999999999</v>
      </c>
      <c r="R31" s="859">
        <f>'Part KIU-KU'!J$25</f>
        <v>3.5229200000000002E-2</v>
      </c>
      <c r="S31" s="125">
        <f t="shared" si="5"/>
        <v>429.87437399999999</v>
      </c>
      <c r="T31" s="863">
        <f t="shared" si="6"/>
        <v>0.159235984</v>
      </c>
      <c r="U31" s="147">
        <f t="shared" si="7"/>
        <v>381.37084949999996</v>
      </c>
      <c r="V31" s="753">
        <f t="shared" si="8"/>
        <v>71.953493454145359</v>
      </c>
      <c r="W31" s="147">
        <v>1</v>
      </c>
      <c r="X31" s="147">
        <f t="shared" si="9"/>
        <v>381.37084949999996</v>
      </c>
      <c r="Y31" s="753">
        <f t="shared" si="10"/>
        <v>71.953493454145359</v>
      </c>
      <c r="Z31" s="147">
        <f t="shared" si="11"/>
        <v>2.0250109702863308</v>
      </c>
      <c r="AA31" s="753">
        <f t="shared" si="12"/>
        <v>2.0307517563635593</v>
      </c>
      <c r="AB31" s="147">
        <f t="shared" si="2"/>
        <v>2.0250109702863308</v>
      </c>
      <c r="AC31" s="753">
        <f t="shared" si="13"/>
        <v>1.8698252932548112</v>
      </c>
      <c r="AD31" s="299">
        <f t="shared" si="28"/>
        <v>1</v>
      </c>
      <c r="AE31" s="752">
        <f t="shared" si="27"/>
        <v>1.3631880973676742</v>
      </c>
      <c r="AJ31" s="1583"/>
      <c r="AK31" s="1593"/>
      <c r="AL31" s="1583"/>
      <c r="AM31" s="1598"/>
      <c r="AN31" s="1587" t="s">
        <v>346</v>
      </c>
      <c r="AO31" s="1587"/>
      <c r="AP31" s="765">
        <f t="shared" si="14"/>
        <v>5.3098210650899032E-3</v>
      </c>
      <c r="AQ31" s="766">
        <f t="shared" si="15"/>
        <v>853</v>
      </c>
      <c r="AR31" s="767">
        <f t="shared" si="16"/>
        <v>0.95104949999999999</v>
      </c>
      <c r="AS31" s="766">
        <f t="shared" si="17"/>
        <v>811.24522349999995</v>
      </c>
      <c r="AT31" s="766">
        <f t="shared" si="18"/>
        <v>452</v>
      </c>
      <c r="AU31" s="766">
        <f t="shared" si="19"/>
        <v>0.95104949999999999</v>
      </c>
      <c r="AV31" s="766">
        <f t="shared" si="20"/>
        <v>429.87437399999999</v>
      </c>
      <c r="AW31" s="766">
        <f t="shared" si="21"/>
        <v>381.37084949999996</v>
      </c>
      <c r="AZ31" s="1583"/>
      <c r="BA31" s="1593"/>
      <c r="BB31" s="1583"/>
      <c r="BC31" s="1598"/>
      <c r="BD31" s="1587" t="s">
        <v>346</v>
      </c>
      <c r="BE31" s="1587"/>
      <c r="BF31" s="765">
        <f t="shared" si="22"/>
        <v>5.3098210650899032E-3</v>
      </c>
      <c r="BG31" s="781">
        <f t="shared" si="23"/>
        <v>381.37084949999996</v>
      </c>
      <c r="BH31" s="782">
        <f t="shared" si="24"/>
        <v>1</v>
      </c>
      <c r="BI31" s="783">
        <f t="shared" si="24"/>
        <v>381.37084949999996</v>
      </c>
      <c r="BJ31" s="782">
        <f t="shared" si="25"/>
        <v>2.0250109702863308</v>
      </c>
      <c r="BK31" s="782">
        <f t="shared" si="26"/>
        <v>2.0250109702863308</v>
      </c>
    </row>
    <row r="32" spans="1:63" ht="15" thickBot="1">
      <c r="A32" s="1782"/>
      <c r="B32" s="1748"/>
      <c r="C32" s="1748"/>
      <c r="D32" s="1788"/>
      <c r="E32" s="1783" t="s">
        <v>347</v>
      </c>
      <c r="F32" s="1783"/>
      <c r="G32" s="748">
        <f>'Statewide Ref Dispostion'!AN26</f>
        <v>1.1841082338023101E-3</v>
      </c>
      <c r="H32" s="1293">
        <f>'Statewide Ref Dispostion'!AP26</f>
        <v>0.15243155333857014</v>
      </c>
      <c r="I32" s="125">
        <f t="shared" si="0"/>
        <v>853</v>
      </c>
      <c r="J32" s="863">
        <f t="shared" si="1"/>
        <v>75.656474204663084</v>
      </c>
      <c r="K32" s="119">
        <f>'Part KIU-KU'!V$25</f>
        <v>0.95104949999999999</v>
      </c>
      <c r="L32" s="859">
        <f>'Part KIU-KU'!X$25</f>
        <v>2.2906200000000002E-2</v>
      </c>
      <c r="M32" s="125">
        <f t="shared" si="3"/>
        <v>811.24522349999995</v>
      </c>
      <c r="N32" s="863">
        <f t="shared" si="4"/>
        <v>71.953317256101116</v>
      </c>
      <c r="O32" s="125">
        <v>0</v>
      </c>
      <c r="P32" s="863"/>
      <c r="Q32" s="119">
        <f>'Part KIU-KU'!V$25</f>
        <v>0.95104949999999999</v>
      </c>
      <c r="R32" s="859">
        <f>'Part KIU-KU'!J$25</f>
        <v>3.5229200000000002E-2</v>
      </c>
      <c r="S32" s="125">
        <f t="shared" si="5"/>
        <v>0</v>
      </c>
      <c r="T32" s="863">
        <f t="shared" si="6"/>
        <v>0</v>
      </c>
      <c r="U32" s="147">
        <f t="shared" si="7"/>
        <v>811.24522349999995</v>
      </c>
      <c r="V32" s="753">
        <f t="shared" si="8"/>
        <v>71.953317256101116</v>
      </c>
      <c r="W32" s="147">
        <v>1</v>
      </c>
      <c r="X32" s="147">
        <f t="shared" si="9"/>
        <v>811.24522349999995</v>
      </c>
      <c r="Y32" s="753">
        <f t="shared" si="10"/>
        <v>71.953317256101116</v>
      </c>
      <c r="Z32" s="147">
        <f t="shared" si="11"/>
        <v>0.96060214877914529</v>
      </c>
      <c r="AA32" s="753">
        <f t="shared" si="12"/>
        <v>1.269254807395179</v>
      </c>
      <c r="AB32" s="147">
        <f t="shared" si="2"/>
        <v>0.96060214877914529</v>
      </c>
      <c r="AC32" s="753">
        <f t="shared" si="13"/>
        <v>1.239525350987271</v>
      </c>
      <c r="AD32" s="299">
        <f t="shared" si="28"/>
        <v>1</v>
      </c>
      <c r="AE32" s="752">
        <f t="shared" si="27"/>
        <v>1.8468624256814512</v>
      </c>
      <c r="AJ32" s="1583"/>
      <c r="AK32" s="1593"/>
      <c r="AL32" s="1583"/>
      <c r="AM32" s="1599"/>
      <c r="AN32" s="1587" t="s">
        <v>347</v>
      </c>
      <c r="AO32" s="1587"/>
      <c r="AP32" s="765">
        <f t="shared" si="14"/>
        <v>1.1841082338023101E-3</v>
      </c>
      <c r="AQ32" s="766">
        <f t="shared" si="15"/>
        <v>853</v>
      </c>
      <c r="AR32" s="767">
        <f t="shared" si="16"/>
        <v>0.95104949999999999</v>
      </c>
      <c r="AS32" s="766">
        <f t="shared" si="17"/>
        <v>811.24522349999995</v>
      </c>
      <c r="AT32" s="766">
        <f t="shared" si="18"/>
        <v>0</v>
      </c>
      <c r="AU32" s="766">
        <f t="shared" si="19"/>
        <v>0.95104949999999999</v>
      </c>
      <c r="AV32" s="766">
        <f t="shared" si="20"/>
        <v>0</v>
      </c>
      <c r="AW32" s="766">
        <f t="shared" si="21"/>
        <v>811.24522349999995</v>
      </c>
      <c r="AZ32" s="1583"/>
      <c r="BA32" s="1593"/>
      <c r="BB32" s="1583"/>
      <c r="BC32" s="1599"/>
      <c r="BD32" s="1587" t="s">
        <v>347</v>
      </c>
      <c r="BE32" s="1587"/>
      <c r="BF32" s="765">
        <f t="shared" si="22"/>
        <v>1.1841082338023101E-3</v>
      </c>
      <c r="BG32" s="781">
        <f t="shared" si="23"/>
        <v>811.24522349999995</v>
      </c>
      <c r="BH32" s="782">
        <f t="shared" si="24"/>
        <v>1</v>
      </c>
      <c r="BI32" s="783">
        <f t="shared" si="24"/>
        <v>811.24522349999995</v>
      </c>
      <c r="BJ32" s="782">
        <f t="shared" si="25"/>
        <v>0.96060214877914529</v>
      </c>
      <c r="BK32" s="782">
        <f t="shared" si="26"/>
        <v>0.96060214877914529</v>
      </c>
    </row>
    <row r="33" spans="1:63" ht="15" thickBot="1">
      <c r="A33" s="1782"/>
      <c r="B33" s="1748"/>
      <c r="C33" s="1784" t="s">
        <v>342</v>
      </c>
      <c r="D33" s="1781" t="s">
        <v>349</v>
      </c>
      <c r="E33" s="1781"/>
      <c r="F33" s="1781"/>
      <c r="G33" s="749">
        <f>'Statewide Ref Dispostion'!AN27</f>
        <v>1.105280935239851E-2</v>
      </c>
      <c r="H33" s="1294">
        <f>'Statewide Ref Dispostion'!AP27</f>
        <v>0.86811967799163647</v>
      </c>
      <c r="I33" s="125">
        <f t="shared" si="0"/>
        <v>853</v>
      </c>
      <c r="J33" s="863">
        <f t="shared" si="1"/>
        <v>75.656474204663084</v>
      </c>
      <c r="K33" s="119">
        <v>1</v>
      </c>
      <c r="L33" s="859">
        <v>0</v>
      </c>
      <c r="M33" s="125">
        <f t="shared" si="3"/>
        <v>853</v>
      </c>
      <c r="N33" s="863">
        <f t="shared" si="4"/>
        <v>75.656474204663084</v>
      </c>
      <c r="O33" s="125">
        <f>$G$7</f>
        <v>660</v>
      </c>
      <c r="P33" s="863">
        <f>$H$7</f>
        <v>92</v>
      </c>
      <c r="Q33" s="522">
        <v>1</v>
      </c>
      <c r="R33" s="1022">
        <v>0</v>
      </c>
      <c r="S33" s="125">
        <f t="shared" si="5"/>
        <v>660</v>
      </c>
      <c r="T33" s="863">
        <f t="shared" si="6"/>
        <v>92</v>
      </c>
      <c r="U33" s="147">
        <f t="shared" si="7"/>
        <v>193</v>
      </c>
      <c r="V33" s="753">
        <f t="shared" si="8"/>
        <v>119.11298035512691</v>
      </c>
      <c r="W33" s="147">
        <v>1</v>
      </c>
      <c r="X33" s="147">
        <f t="shared" si="9"/>
        <v>193</v>
      </c>
      <c r="Y33" s="753">
        <f t="shared" si="10"/>
        <v>119.11298035512691</v>
      </c>
      <c r="Z33" s="147">
        <f t="shared" si="11"/>
        <v>2.1331922050129126</v>
      </c>
      <c r="AA33" s="753">
        <f t="shared" si="12"/>
        <v>2.3697301677757054</v>
      </c>
      <c r="AB33" s="147">
        <f t="shared" si="2"/>
        <v>2.1331922050129126</v>
      </c>
      <c r="AC33" s="753">
        <f t="shared" si="13"/>
        <v>2.1308360581085615</v>
      </c>
      <c r="AD33" s="299">
        <f t="shared" si="28"/>
        <v>1</v>
      </c>
      <c r="AE33" s="752">
        <f t="shared" si="27"/>
        <v>1.4939399488034897</v>
      </c>
      <c r="AJ33" s="1583"/>
      <c r="AK33" s="1593"/>
      <c r="AL33" s="1583" t="s">
        <v>342</v>
      </c>
      <c r="AM33" s="1584" t="s">
        <v>349</v>
      </c>
      <c r="AN33" s="1585"/>
      <c r="AO33" s="1586"/>
      <c r="AP33" s="765">
        <f t="shared" si="14"/>
        <v>1.105280935239851E-2</v>
      </c>
      <c r="AQ33" s="766">
        <f t="shared" si="15"/>
        <v>853</v>
      </c>
      <c r="AR33" s="767">
        <f t="shared" si="16"/>
        <v>1</v>
      </c>
      <c r="AS33" s="766">
        <f t="shared" si="17"/>
        <v>853</v>
      </c>
      <c r="AT33" s="766">
        <f t="shared" si="18"/>
        <v>660</v>
      </c>
      <c r="AU33" s="766">
        <f t="shared" si="19"/>
        <v>1</v>
      </c>
      <c r="AV33" s="766">
        <f t="shared" si="20"/>
        <v>660</v>
      </c>
      <c r="AW33" s="766">
        <f t="shared" si="21"/>
        <v>193</v>
      </c>
      <c r="AZ33" s="1583"/>
      <c r="BA33" s="1593"/>
      <c r="BB33" s="1583" t="s">
        <v>342</v>
      </c>
      <c r="BC33" s="1584" t="s">
        <v>349</v>
      </c>
      <c r="BD33" s="1585"/>
      <c r="BE33" s="1586"/>
      <c r="BF33" s="765">
        <f t="shared" si="22"/>
        <v>1.105280935239851E-2</v>
      </c>
      <c r="BG33" s="781">
        <f t="shared" si="23"/>
        <v>193</v>
      </c>
      <c r="BH33" s="782">
        <f t="shared" si="24"/>
        <v>1</v>
      </c>
      <c r="BI33" s="783">
        <f t="shared" si="24"/>
        <v>193</v>
      </c>
      <c r="BJ33" s="782">
        <f t="shared" si="25"/>
        <v>2.1331922050129126</v>
      </c>
      <c r="BK33" s="782">
        <f t="shared" si="26"/>
        <v>2.1331922050129126</v>
      </c>
    </row>
    <row r="34" spans="1:63" ht="15" thickBot="1">
      <c r="A34" s="1782"/>
      <c r="B34" s="1748"/>
      <c r="C34" s="1784"/>
      <c r="D34" s="1781" t="s">
        <v>350</v>
      </c>
      <c r="E34" s="1781"/>
      <c r="F34" s="1781"/>
      <c r="G34" s="749">
        <f>'Statewide Ref Dispostion'!AN28</f>
        <v>5.6345838280219213E-3</v>
      </c>
      <c r="H34" s="1294">
        <f>'Statewide Ref Dispostion'!AP28</f>
        <v>0.44255654308719217</v>
      </c>
      <c r="I34" s="125">
        <f t="shared" si="0"/>
        <v>853</v>
      </c>
      <c r="J34" s="863">
        <f t="shared" si="1"/>
        <v>75.656474204663084</v>
      </c>
      <c r="K34" s="119">
        <v>1</v>
      </c>
      <c r="L34" s="859">
        <v>0</v>
      </c>
      <c r="M34" s="125">
        <f t="shared" si="3"/>
        <v>853</v>
      </c>
      <c r="N34" s="863">
        <f t="shared" si="4"/>
        <v>75.656474204663084</v>
      </c>
      <c r="O34" s="125">
        <f>$G$7</f>
        <v>660</v>
      </c>
      <c r="P34" s="863">
        <f>$H$7</f>
        <v>92</v>
      </c>
      <c r="Q34" s="522">
        <v>1</v>
      </c>
      <c r="R34" s="1022">
        <v>0</v>
      </c>
      <c r="S34" s="125">
        <f t="shared" si="5"/>
        <v>660</v>
      </c>
      <c r="T34" s="863">
        <f t="shared" si="6"/>
        <v>92</v>
      </c>
      <c r="U34" s="147">
        <f t="shared" si="7"/>
        <v>193</v>
      </c>
      <c r="V34" s="753">
        <f t="shared" si="8"/>
        <v>119.11298035512691</v>
      </c>
      <c r="W34" s="147">
        <v>1</v>
      </c>
      <c r="X34" s="147">
        <f t="shared" si="9"/>
        <v>193</v>
      </c>
      <c r="Y34" s="753">
        <f t="shared" si="10"/>
        <v>119.11298035512691</v>
      </c>
      <c r="Z34" s="147">
        <f t="shared" si="11"/>
        <v>1.0874746788082308</v>
      </c>
      <c r="AA34" s="753">
        <f t="shared" si="12"/>
        <v>1.2080587707981341</v>
      </c>
      <c r="AB34" s="147">
        <f t="shared" si="2"/>
        <v>1.0874746788082308</v>
      </c>
      <c r="AC34" s="753">
        <f t="shared" si="13"/>
        <v>1.0862735446150655</v>
      </c>
      <c r="AD34" s="299">
        <f t="shared" si="28"/>
        <v>1</v>
      </c>
      <c r="AE34" s="752">
        <f t="shared" si="27"/>
        <v>1.4939399488034895</v>
      </c>
      <c r="AJ34" s="1583"/>
      <c r="AK34" s="1593"/>
      <c r="AL34" s="1583"/>
      <c r="AM34" s="1575" t="s">
        <v>350</v>
      </c>
      <c r="AN34" s="1575"/>
      <c r="AO34" s="1575"/>
      <c r="AP34" s="765">
        <f t="shared" si="14"/>
        <v>5.6345838280219213E-3</v>
      </c>
      <c r="AQ34" s="766">
        <f t="shared" si="15"/>
        <v>853</v>
      </c>
      <c r="AR34" s="767">
        <f t="shared" si="16"/>
        <v>1</v>
      </c>
      <c r="AS34" s="766">
        <f t="shared" si="17"/>
        <v>853</v>
      </c>
      <c r="AT34" s="766">
        <f t="shared" si="18"/>
        <v>660</v>
      </c>
      <c r="AU34" s="766">
        <f t="shared" si="19"/>
        <v>1</v>
      </c>
      <c r="AV34" s="766">
        <f t="shared" si="20"/>
        <v>660</v>
      </c>
      <c r="AW34" s="766">
        <f t="shared" si="21"/>
        <v>193</v>
      </c>
      <c r="AZ34" s="1583"/>
      <c r="BA34" s="1593"/>
      <c r="BB34" s="1583"/>
      <c r="BC34" s="1575" t="s">
        <v>350</v>
      </c>
      <c r="BD34" s="1575"/>
      <c r="BE34" s="1575"/>
      <c r="BF34" s="765">
        <f t="shared" si="22"/>
        <v>5.6345838280219213E-3</v>
      </c>
      <c r="BG34" s="781">
        <f t="shared" si="23"/>
        <v>193</v>
      </c>
      <c r="BH34" s="782">
        <f t="shared" si="24"/>
        <v>1</v>
      </c>
      <c r="BI34" s="783">
        <f t="shared" si="24"/>
        <v>193</v>
      </c>
      <c r="BJ34" s="782">
        <f t="shared" si="25"/>
        <v>1.0874746788082308</v>
      </c>
      <c r="BK34" s="782">
        <f t="shared" si="26"/>
        <v>1.0874746788082308</v>
      </c>
    </row>
    <row r="35" spans="1:63" ht="15" thickBot="1">
      <c r="A35" s="1782"/>
      <c r="B35" s="1748"/>
      <c r="C35" s="1784"/>
      <c r="D35" s="1781" t="s">
        <v>57</v>
      </c>
      <c r="E35" s="1781"/>
      <c r="F35" s="1781"/>
      <c r="G35" s="749">
        <f>'Statewide Ref Dispostion'!AN29</f>
        <v>6.6700356800320753E-3</v>
      </c>
      <c r="H35" s="1294">
        <f>'Statewide Ref Dispostion'!AP29</f>
        <v>0.52388393232220454</v>
      </c>
      <c r="I35" s="125">
        <f t="shared" si="0"/>
        <v>853</v>
      </c>
      <c r="J35" s="863">
        <f t="shared" si="1"/>
        <v>75.656474204663084</v>
      </c>
      <c r="K35" s="119">
        <v>1</v>
      </c>
      <c r="L35" s="859">
        <v>0</v>
      </c>
      <c r="M35" s="125">
        <f t="shared" si="3"/>
        <v>853</v>
      </c>
      <c r="N35" s="863">
        <f t="shared" si="4"/>
        <v>75.656474204663084</v>
      </c>
      <c r="O35" s="125">
        <f>$G$7</f>
        <v>660</v>
      </c>
      <c r="P35" s="863">
        <f>$H$7</f>
        <v>92</v>
      </c>
      <c r="Q35" s="522">
        <v>1</v>
      </c>
      <c r="R35" s="1022">
        <v>0</v>
      </c>
      <c r="S35" s="125">
        <f t="shared" si="5"/>
        <v>660</v>
      </c>
      <c r="T35" s="1023">
        <f t="shared" si="5"/>
        <v>0</v>
      </c>
      <c r="U35" s="147">
        <f t="shared" si="7"/>
        <v>193</v>
      </c>
      <c r="V35" s="753">
        <f t="shared" si="8"/>
        <v>75.656474204663084</v>
      </c>
      <c r="W35" s="147">
        <v>1</v>
      </c>
      <c r="X35" s="147">
        <f t="shared" si="9"/>
        <v>193</v>
      </c>
      <c r="Y35" s="753">
        <f t="shared" si="10"/>
        <v>75.656474204663084</v>
      </c>
      <c r="Z35" s="147">
        <f t="shared" si="11"/>
        <v>1.2873168862461906</v>
      </c>
      <c r="AA35" s="753">
        <f t="shared" si="12"/>
        <v>1.2930334874238223</v>
      </c>
      <c r="AB35" s="147">
        <f t="shared" si="2"/>
        <v>1.2873168862461906</v>
      </c>
      <c r="AC35" s="753">
        <f t="shared" si="13"/>
        <v>1.1300300579264531</v>
      </c>
      <c r="AD35" s="299">
        <f t="shared" si="28"/>
        <v>1</v>
      </c>
      <c r="AE35" s="752">
        <f t="shared" si="27"/>
        <v>1.3339661726403762</v>
      </c>
      <c r="AJ35" s="1583"/>
      <c r="AK35" s="1593"/>
      <c r="AL35" s="1583"/>
      <c r="AM35" s="1575" t="s">
        <v>57</v>
      </c>
      <c r="AN35" s="1575"/>
      <c r="AO35" s="1575"/>
      <c r="AP35" s="765">
        <f t="shared" si="14"/>
        <v>6.6700356800320753E-3</v>
      </c>
      <c r="AQ35" s="766">
        <f t="shared" si="15"/>
        <v>853</v>
      </c>
      <c r="AR35" s="767">
        <f t="shared" si="16"/>
        <v>1</v>
      </c>
      <c r="AS35" s="766">
        <f t="shared" si="17"/>
        <v>853</v>
      </c>
      <c r="AT35" s="766">
        <f t="shared" si="18"/>
        <v>660</v>
      </c>
      <c r="AU35" s="766">
        <f t="shared" si="19"/>
        <v>1</v>
      </c>
      <c r="AV35" s="766">
        <f t="shared" si="20"/>
        <v>660</v>
      </c>
      <c r="AW35" s="766">
        <f t="shared" si="21"/>
        <v>193</v>
      </c>
      <c r="AZ35" s="1583"/>
      <c r="BA35" s="1593"/>
      <c r="BB35" s="1583"/>
      <c r="BC35" s="1575" t="s">
        <v>57</v>
      </c>
      <c r="BD35" s="1575"/>
      <c r="BE35" s="1575"/>
      <c r="BF35" s="765">
        <f t="shared" si="22"/>
        <v>6.6700356800320753E-3</v>
      </c>
      <c r="BG35" s="781">
        <f t="shared" si="23"/>
        <v>193</v>
      </c>
      <c r="BH35" s="782">
        <f t="shared" si="24"/>
        <v>1</v>
      </c>
      <c r="BI35" s="783">
        <f t="shared" si="24"/>
        <v>193</v>
      </c>
      <c r="BJ35" s="782">
        <f t="shared" si="25"/>
        <v>1.2873168862461906</v>
      </c>
      <c r="BK35" s="782">
        <f t="shared" si="26"/>
        <v>1.2873168862461906</v>
      </c>
    </row>
    <row r="36" spans="1:63" ht="15" thickBot="1">
      <c r="A36" s="1782"/>
      <c r="B36" s="1748"/>
      <c r="C36" s="1780" t="s">
        <v>266</v>
      </c>
      <c r="D36" s="1780"/>
      <c r="E36" s="1780"/>
      <c r="F36" s="1780"/>
      <c r="G36" s="749">
        <f>'Statewide Ref Dispostion'!AN30</f>
        <v>0.11329664889249251</v>
      </c>
      <c r="H36" s="1294">
        <f>'Statewide Ref Dispostion'!AP30</f>
        <v>8.8986471419357827</v>
      </c>
      <c r="I36" s="125">
        <f t="shared" si="0"/>
        <v>853</v>
      </c>
      <c r="J36" s="863">
        <f t="shared" si="1"/>
        <v>75.656474204663084</v>
      </c>
      <c r="K36" s="522">
        <v>0.99</v>
      </c>
      <c r="L36" s="1022">
        <v>0</v>
      </c>
      <c r="M36" s="125">
        <v>804</v>
      </c>
      <c r="N36" s="1023">
        <f t="shared" si="4"/>
        <v>71.310439930303772</v>
      </c>
      <c r="O36" s="125">
        <v>423</v>
      </c>
      <c r="P36" s="863"/>
      <c r="Q36" s="522">
        <v>0.99</v>
      </c>
      <c r="R36" s="1022">
        <v>0</v>
      </c>
      <c r="S36" s="125">
        <v>420</v>
      </c>
      <c r="T36" s="863">
        <f t="shared" si="6"/>
        <v>0</v>
      </c>
      <c r="U36" s="147">
        <f t="shared" si="7"/>
        <v>384</v>
      </c>
      <c r="V36" s="753">
        <f t="shared" si="8"/>
        <v>71.310439930303772</v>
      </c>
      <c r="W36" s="147">
        <v>0</v>
      </c>
      <c r="X36" s="147">
        <f t="shared" si="9"/>
        <v>0</v>
      </c>
      <c r="Y36" s="753">
        <v>0</v>
      </c>
      <c r="Z36" s="147">
        <f t="shared" si="11"/>
        <v>43.505913174717122</v>
      </c>
      <c r="AA36" s="753">
        <f t="shared" si="12"/>
        <v>38.976125558468219</v>
      </c>
      <c r="AB36" s="147">
        <f t="shared" si="2"/>
        <v>0</v>
      </c>
      <c r="AC36" s="753">
        <f t="shared" si="13"/>
        <v>0</v>
      </c>
      <c r="AD36" s="299">
        <f t="shared" si="28"/>
        <v>0</v>
      </c>
      <c r="AE36" s="752">
        <f t="shared" si="27"/>
        <v>0</v>
      </c>
      <c r="AJ36" s="1583"/>
      <c r="AK36" s="1594"/>
      <c r="AL36" s="1587" t="s">
        <v>266</v>
      </c>
      <c r="AM36" s="1587"/>
      <c r="AN36" s="1587"/>
      <c r="AO36" s="1587"/>
      <c r="AP36" s="765">
        <f t="shared" si="14"/>
        <v>0.11329664889249251</v>
      </c>
      <c r="AQ36" s="766">
        <f t="shared" si="15"/>
        <v>853</v>
      </c>
      <c r="AR36" s="767">
        <f t="shared" si="16"/>
        <v>0.99</v>
      </c>
      <c r="AS36" s="766">
        <f t="shared" si="17"/>
        <v>804</v>
      </c>
      <c r="AT36" s="766">
        <f t="shared" si="18"/>
        <v>423</v>
      </c>
      <c r="AU36" s="766">
        <f t="shared" si="19"/>
        <v>0.99</v>
      </c>
      <c r="AV36" s="766">
        <f t="shared" si="20"/>
        <v>420</v>
      </c>
      <c r="AW36" s="766">
        <f t="shared" si="21"/>
        <v>384</v>
      </c>
      <c r="AZ36" s="1583"/>
      <c r="BA36" s="1594"/>
      <c r="BB36" s="1587" t="s">
        <v>266</v>
      </c>
      <c r="BC36" s="1587"/>
      <c r="BD36" s="1587"/>
      <c r="BE36" s="1587"/>
      <c r="BF36" s="765">
        <f t="shared" si="22"/>
        <v>0.11329664889249251</v>
      </c>
      <c r="BG36" s="781">
        <f t="shared" si="23"/>
        <v>384</v>
      </c>
      <c r="BH36" s="782">
        <f t="shared" si="24"/>
        <v>0</v>
      </c>
      <c r="BI36" s="783">
        <f t="shared" si="24"/>
        <v>0</v>
      </c>
      <c r="BJ36" s="782">
        <f t="shared" si="25"/>
        <v>43.505913174717122</v>
      </c>
      <c r="BK36" s="782">
        <f t="shared" si="26"/>
        <v>0</v>
      </c>
    </row>
    <row r="37" spans="1:63" ht="15" thickBot="1">
      <c r="G37" s="419">
        <f>SUM(G14:G36)</f>
        <v>0.99446916635964477</v>
      </c>
      <c r="H37" s="800"/>
      <c r="I37" s="422">
        <f>SUMPRODUCT($G14:$G36,I14:I36)/SUM(G14:G36)</f>
        <v>852.99999999999955</v>
      </c>
      <c r="J37" s="1021"/>
      <c r="K37" s="119">
        <f>SUMPRODUCT($G14:$G36,K14:K36)</f>
        <v>0.95663554323641109</v>
      </c>
      <c r="L37" s="1021"/>
      <c r="M37" s="422">
        <f>SUMPRODUCT($G14:$G36,M14:M36)</f>
        <v>804.0789225704973</v>
      </c>
      <c r="N37" s="1021"/>
      <c r="O37" s="422">
        <f>SUMPRODUCT($G14:$G36,O14:O36)</f>
        <v>557.96356747057928</v>
      </c>
      <c r="P37" s="1021"/>
      <c r="Q37" s="119">
        <f>SUMPRODUCT($G14:$G36,Q14:Q36)</f>
        <v>0.66479507279348526</v>
      </c>
      <c r="R37" s="1021"/>
      <c r="S37" s="422">
        <f>SUMPRODUCT($G14:$G36,S14:S36)</f>
        <v>419.25907057926776</v>
      </c>
      <c r="T37" s="1023"/>
      <c r="U37" s="422">
        <f>SUMPRODUCT($G14:$G36,U14:U36)</f>
        <v>384.8198519912296</v>
      </c>
      <c r="V37" s="800"/>
      <c r="W37" s="119">
        <f>SUMPRODUCT($G14:$G36,W14:W36)</f>
        <v>0.69965335686715213</v>
      </c>
      <c r="X37" s="422">
        <f>SUMPRODUCT($G14:$G36,X14:X36)</f>
        <v>271.61058114611239</v>
      </c>
      <c r="Y37" s="422"/>
      <c r="Z37" s="434">
        <f>SUM(Z14:Z36)</f>
        <v>384.8198519912296</v>
      </c>
      <c r="AA37" s="435">
        <f>SQRT(AA14^2+AA15^2+AA16^2+AA17^2+AA18^2+AA19^2+AA20^2+AA22^2+AA23^2+AA24^2+AA25^2+AA26^2+AA27^2+AA28^2+AA30^2+AA31^2+AA32^2+AA33^2+AA34^2+AA35^2+AA36^2)</f>
        <v>77.700285299548071</v>
      </c>
      <c r="AB37" s="436">
        <f>SUM(AB14:AB36)</f>
        <v>271.61058114611239</v>
      </c>
      <c r="AC37" s="435">
        <f>SQRT(AC14^2+AC15^2+AC16^2+AC17^2+AC18^2+AC19^2+AC20^2+AC22^2+AC23^2+AC24^2+AC25^2+AC26^2+AC27^2+AC28^2+AC30^2+AC31^2+AC32^2+AC33^2+AC34^2+AC35^2+AC36^2)</f>
        <v>45.711129496108207</v>
      </c>
      <c r="AD37" s="437">
        <f>AB37/Z37</f>
        <v>0.70581229045403471</v>
      </c>
      <c r="AE37" s="764">
        <f>AD37*SQRT(IF(Z37&gt;0,(AA37/Z37)^2,0)+IF(AB37&gt;0,(AC37/AB37)^2,0))</f>
        <v>0.18552629841844584</v>
      </c>
      <c r="AJ37" s="1792" t="s">
        <v>533</v>
      </c>
      <c r="AK37" s="1793"/>
      <c r="AL37" s="1793"/>
      <c r="AM37" s="1793"/>
      <c r="AN37" s="1793"/>
      <c r="AO37" s="1793"/>
      <c r="AP37" s="1794"/>
      <c r="AQ37" s="784">
        <f>SUMPRODUCT($AP$14:$AP$36,AQ14:AQ36)</f>
        <v>848.28219890477658</v>
      </c>
      <c r="AR37" s="784">
        <f t="shared" ref="AR37:AW37" si="29">SUMPRODUCT($AP$14:$AP$36,AR14:AR36)</f>
        <v>0.95663554323641109</v>
      </c>
      <c r="AS37" s="784">
        <f t="shared" si="29"/>
        <v>804.0789225704973</v>
      </c>
      <c r="AT37" s="784">
        <f t="shared" si="29"/>
        <v>557.96356747057928</v>
      </c>
      <c r="AU37" s="784">
        <f t="shared" si="29"/>
        <v>0.66479507279348526</v>
      </c>
      <c r="AV37" s="784">
        <f t="shared" si="29"/>
        <v>419.25907057926776</v>
      </c>
      <c r="AW37" s="784">
        <f t="shared" si="29"/>
        <v>384.8198519912296</v>
      </c>
      <c r="AZ37" s="1795" t="s">
        <v>541</v>
      </c>
      <c r="BA37" s="1796"/>
      <c r="BB37" s="1796"/>
      <c r="BC37" s="1796"/>
      <c r="BD37" s="1796"/>
      <c r="BE37" s="1796"/>
      <c r="BF37" s="1796"/>
      <c r="BG37" s="1796"/>
      <c r="BH37" s="1796"/>
      <c r="BI37" s="1797"/>
      <c r="BJ37" s="789">
        <f>SUM(BJ14:BJ36)</f>
        <v>384.8198519912296</v>
      </c>
      <c r="BK37" s="790">
        <f>SUM(BK14:BK36)</f>
        <v>271.61058114611239</v>
      </c>
    </row>
    <row r="38" spans="1:63" ht="15" thickBot="1">
      <c r="Q38" s="1270"/>
      <c r="R38" s="1271"/>
      <c r="S38" s="1270"/>
      <c r="T38" s="1271"/>
      <c r="U38" s="1295" t="s">
        <v>940</v>
      </c>
      <c r="V38" s="1273">
        <f>SQRT(SUMPRODUCT(V14:V36,V14:V36,$G14:$G36,$G14:$G36))</f>
        <v>25.887223029184554</v>
      </c>
      <c r="W38" s="1271"/>
      <c r="X38" s="1280"/>
      <c r="Y38" s="1273">
        <f>SQRT(SUMPRODUCT(Y14:Y36,Y14:Y36,G14:G36,G14:G36))</f>
        <v>20.912237867110591</v>
      </c>
      <c r="Z38" s="1271"/>
      <c r="AO38" s="331"/>
      <c r="AP38" s="786"/>
      <c r="AZ38" s="1795" t="s">
        <v>542</v>
      </c>
      <c r="BA38" s="1796"/>
      <c r="BB38" s="1796"/>
      <c r="BC38" s="1796"/>
      <c r="BD38" s="1796"/>
      <c r="BE38" s="1796"/>
      <c r="BF38" s="1796"/>
      <c r="BG38" s="1796"/>
      <c r="BH38" s="1796"/>
      <c r="BI38" s="1797"/>
      <c r="BJ38" s="1806">
        <f>BK37/BJ37</f>
        <v>0.70581229045403471</v>
      </c>
      <c r="BK38" s="1807"/>
    </row>
    <row r="39" spans="1:63">
      <c r="Q39" s="1271"/>
      <c r="R39" s="1271"/>
      <c r="S39" s="1270"/>
      <c r="T39" s="1271"/>
      <c r="U39" s="1295" t="s">
        <v>941</v>
      </c>
      <c r="V39" s="1273">
        <f>SQRT(SUMPRODUCT($H14:$H36,$H14:$H36,U14:U36,U14:U36))/100</f>
        <v>54.216033176025356</v>
      </c>
      <c r="W39" s="1271"/>
      <c r="X39" s="1280"/>
      <c r="Y39" s="1273">
        <f>SQRT(SUMPRODUCT($H14:$H36,$H14:$H36,X14:X36,X14:X36))/100</f>
        <v>41.278247038375255</v>
      </c>
      <c r="Z39" s="1271"/>
      <c r="AO39" s="331"/>
      <c r="AP39" s="786"/>
      <c r="AZ39" s="1285"/>
      <c r="BA39" s="1285"/>
      <c r="BB39" s="1285"/>
      <c r="BC39" s="1285"/>
      <c r="BD39" s="1285"/>
      <c r="BE39" s="1285"/>
      <c r="BF39" s="1285"/>
      <c r="BG39" s="1285"/>
      <c r="BH39" s="1285"/>
      <c r="BI39" s="1285"/>
      <c r="BJ39" s="1286"/>
      <c r="BK39" s="1286"/>
    </row>
    <row r="40" spans="1:63">
      <c r="Q40" s="1273"/>
      <c r="R40" s="1271"/>
      <c r="S40" s="1271"/>
      <c r="T40" s="1271"/>
      <c r="U40" s="1296" t="s">
        <v>942</v>
      </c>
      <c r="V40" s="1273">
        <f>SQRT(V38^2+V39^2)</f>
        <v>60.079335628039573</v>
      </c>
      <c r="W40" s="1271"/>
      <c r="X40" s="1280"/>
      <c r="Y40" s="1273">
        <f>SQRT(Y38^2+Y39^2)</f>
        <v>46.273268429750559</v>
      </c>
      <c r="Z40" s="1271"/>
      <c r="AO40" s="331"/>
      <c r="AP40" s="786"/>
      <c r="AZ40" s="1285"/>
      <c r="BA40" s="1285"/>
      <c r="BB40" s="1285"/>
      <c r="BC40" s="1285"/>
      <c r="BD40" s="1285"/>
      <c r="BE40" s="1285"/>
      <c r="BF40" s="1285"/>
      <c r="BG40" s="1285"/>
      <c r="BH40" s="1285"/>
      <c r="BI40" s="1285"/>
      <c r="BJ40" s="1286"/>
      <c r="BK40" s="1286"/>
    </row>
    <row r="41" spans="1:63">
      <c r="Y41" s="450" t="s">
        <v>278</v>
      </c>
      <c r="Z41" s="451">
        <f>V40*Z45</f>
        <v>99.965040050572696</v>
      </c>
      <c r="AA41" s="450" t="s">
        <v>278</v>
      </c>
      <c r="AB41" s="451">
        <f>Y40*AB45</f>
        <v>76.993346938611197</v>
      </c>
      <c r="AC41" s="450" t="s">
        <v>278</v>
      </c>
      <c r="AD41" s="421">
        <f>AE37*AD45</f>
        <v>0.32523694343278281</v>
      </c>
      <c r="AF41" s="450"/>
      <c r="AG41" s="419"/>
    </row>
    <row r="42" spans="1:63">
      <c r="Y42" s="916" t="s">
        <v>279</v>
      </c>
      <c r="Z42" s="452">
        <f>Z37-Z41</f>
        <v>284.85481194065687</v>
      </c>
      <c r="AA42" s="916" t="s">
        <v>279</v>
      </c>
      <c r="AB42" s="452">
        <f>AB37-AB41</f>
        <v>194.61723420750121</v>
      </c>
      <c r="AC42" s="916" t="s">
        <v>279</v>
      </c>
      <c r="AD42" s="418">
        <f>AD37-AD41</f>
        <v>0.3805753470212519</v>
      </c>
      <c r="AF42" s="421"/>
    </row>
    <row r="43" spans="1:63">
      <c r="Y43" s="916" t="s">
        <v>280</v>
      </c>
      <c r="Z43" s="452">
        <f>Z37+Z41</f>
        <v>484.78489204180232</v>
      </c>
      <c r="AA43" s="916" t="s">
        <v>280</v>
      </c>
      <c r="AB43" s="452">
        <f>AB37+AB41</f>
        <v>348.60392808472358</v>
      </c>
      <c r="AC43" s="916" t="s">
        <v>280</v>
      </c>
      <c r="AD43" s="418">
        <f>AD37+AD41</f>
        <v>1.0310492338868176</v>
      </c>
    </row>
    <row r="44" spans="1:63">
      <c r="Y44" s="432" t="s">
        <v>286</v>
      </c>
      <c r="Z44" s="421">
        <f>Z41/Z37</f>
        <v>0.25977100592214508</v>
      </c>
      <c r="AB44" s="421">
        <f>AB41/AB37</f>
        <v>0.28346961526212694</v>
      </c>
      <c r="AD44" s="421">
        <f>AD41/AD37</f>
        <v>0.46079807313012994</v>
      </c>
    </row>
    <row r="45" spans="1:63">
      <c r="Z45" s="916">
        <f>TINV(0.1,Z47)</f>
        <v>1.6638839129226006</v>
      </c>
      <c r="AB45" s="916">
        <f>TINV(0.1,Z47)</f>
        <v>1.6638839129226006</v>
      </c>
      <c r="AD45" s="916">
        <f>TINV(0.1,AD47)</f>
        <v>1.7530503556925723</v>
      </c>
    </row>
    <row r="47" spans="1:63">
      <c r="Y47" s="138" t="s">
        <v>281</v>
      </c>
      <c r="Z47" s="916">
        <v>81</v>
      </c>
      <c r="AD47" s="916">
        <v>15</v>
      </c>
    </row>
    <row r="53" spans="5:9" ht="15" thickBot="1">
      <c r="G53" s="916" t="s">
        <v>115</v>
      </c>
      <c r="H53" s="916" t="s">
        <v>328</v>
      </c>
      <c r="I53" s="916" t="s">
        <v>329</v>
      </c>
    </row>
    <row r="54" spans="5:9" ht="15" thickBot="1">
      <c r="E54" s="803" t="s">
        <v>132</v>
      </c>
      <c r="F54" s="218"/>
      <c r="G54" s="1808" t="s">
        <v>330</v>
      </c>
    </row>
    <row r="55" spans="5:9" ht="15" thickBot="1">
      <c r="E55" s="803" t="s">
        <v>49</v>
      </c>
      <c r="F55" s="218"/>
      <c r="G55" s="1808"/>
    </row>
    <row r="56" spans="5:9" ht="15" thickBot="1">
      <c r="E56" s="804" t="s">
        <v>133</v>
      </c>
      <c r="F56" s="736"/>
      <c r="G56" s="1808"/>
    </row>
    <row r="57" spans="5:9">
      <c r="E57" s="916" t="s">
        <v>326</v>
      </c>
      <c r="G57" s="1808"/>
    </row>
    <row r="58" spans="5:9">
      <c r="E58" s="916" t="s">
        <v>327</v>
      </c>
      <c r="G58" s="1808"/>
    </row>
  </sheetData>
  <mergeCells count="98">
    <mergeCell ref="A12:F12"/>
    <mergeCell ref="AJ12:AO13"/>
    <mergeCell ref="AZ12:BE13"/>
    <mergeCell ref="A14:F14"/>
    <mergeCell ref="AJ14:AO14"/>
    <mergeCell ref="AZ14:BE14"/>
    <mergeCell ref="A15:F15"/>
    <mergeCell ref="AJ15:AO15"/>
    <mergeCell ref="AZ15:BE15"/>
    <mergeCell ref="A16:F16"/>
    <mergeCell ref="AJ16:AO16"/>
    <mergeCell ref="AZ16:BE16"/>
    <mergeCell ref="AM18:AO18"/>
    <mergeCell ref="BC18:BE18"/>
    <mergeCell ref="AM19:AO19"/>
    <mergeCell ref="BC19:BE19"/>
    <mergeCell ref="A17:A36"/>
    <mergeCell ref="B17:B25"/>
    <mergeCell ref="C17:C21"/>
    <mergeCell ref="D17:F17"/>
    <mergeCell ref="AJ17:AJ36"/>
    <mergeCell ref="AK17:AK25"/>
    <mergeCell ref="D18:F18"/>
    <mergeCell ref="D19:F19"/>
    <mergeCell ref="D20:E21"/>
    <mergeCell ref="B26:B36"/>
    <mergeCell ref="AM20:AN21"/>
    <mergeCell ref="BC20:BD21"/>
    <mergeCell ref="C22:C25"/>
    <mergeCell ref="D22:F22"/>
    <mergeCell ref="AL22:AL25"/>
    <mergeCell ref="AM22:AO22"/>
    <mergeCell ref="BB22:BB25"/>
    <mergeCell ref="BC22:BE22"/>
    <mergeCell ref="D23:F23"/>
    <mergeCell ref="AM23:AO23"/>
    <mergeCell ref="AL17:AL21"/>
    <mergeCell ref="AM17:AO17"/>
    <mergeCell ref="AZ17:AZ36"/>
    <mergeCell ref="BA17:BA25"/>
    <mergeCell ref="BB17:BB21"/>
    <mergeCell ref="BC17:BE17"/>
    <mergeCell ref="BC23:BE23"/>
    <mergeCell ref="D24:F24"/>
    <mergeCell ref="AM24:AO24"/>
    <mergeCell ref="BC24:BE24"/>
    <mergeCell ref="D25:F25"/>
    <mergeCell ref="AM25:AO25"/>
    <mergeCell ref="BC25:BE25"/>
    <mergeCell ref="E27:F27"/>
    <mergeCell ref="AN27:AO27"/>
    <mergeCell ref="BD27:BE27"/>
    <mergeCell ref="E28:E29"/>
    <mergeCell ref="AN28:AN29"/>
    <mergeCell ref="AK26:AK36"/>
    <mergeCell ref="AL26:AL32"/>
    <mergeCell ref="AM26:AM29"/>
    <mergeCell ref="E32:F32"/>
    <mergeCell ref="AN26:AO26"/>
    <mergeCell ref="BA26:BA36"/>
    <mergeCell ref="BB26:BB32"/>
    <mergeCell ref="BC26:BC29"/>
    <mergeCell ref="BD26:BE26"/>
    <mergeCell ref="BD28:BD29"/>
    <mergeCell ref="BD30:BE30"/>
    <mergeCell ref="BD32:BE32"/>
    <mergeCell ref="D30:D32"/>
    <mergeCell ref="E30:F30"/>
    <mergeCell ref="AM30:AM32"/>
    <mergeCell ref="AN30:AO30"/>
    <mergeCell ref="BC30:BC32"/>
    <mergeCell ref="E31:F31"/>
    <mergeCell ref="AN31:AO31"/>
    <mergeCell ref="BC33:BE33"/>
    <mergeCell ref="D34:F34"/>
    <mergeCell ref="AM34:AO34"/>
    <mergeCell ref="C26:C32"/>
    <mergeCell ref="BC34:BE34"/>
    <mergeCell ref="C33:C35"/>
    <mergeCell ref="D33:F33"/>
    <mergeCell ref="AL33:AL35"/>
    <mergeCell ref="AM33:AO33"/>
    <mergeCell ref="BB33:BB35"/>
    <mergeCell ref="D35:F35"/>
    <mergeCell ref="AM35:AO35"/>
    <mergeCell ref="BD31:BE31"/>
    <mergeCell ref="D26:D29"/>
    <mergeCell ref="E26:F26"/>
    <mergeCell ref="AN32:AO32"/>
    <mergeCell ref="AZ38:BI38"/>
    <mergeCell ref="BJ38:BK38"/>
    <mergeCell ref="G54:G58"/>
    <mergeCell ref="BC35:BE35"/>
    <mergeCell ref="C36:F36"/>
    <mergeCell ref="AL36:AO36"/>
    <mergeCell ref="BB36:BE36"/>
    <mergeCell ref="AJ37:AP37"/>
    <mergeCell ref="AZ37:BI37"/>
  </mergeCells>
  <pageMargins left="0.7" right="0.7" top="0.75" bottom="0.75" header="0.3" footer="0.3"/>
  <pageSetup scale="1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V39"/>
  <sheetViews>
    <sheetView topLeftCell="T1" zoomScale="85" zoomScaleNormal="85" workbookViewId="0">
      <selection activeCell="T1" sqref="T1"/>
    </sheetView>
  </sheetViews>
  <sheetFormatPr defaultColWidth="9.109375" defaultRowHeight="14.4" outlineLevelRow="1" outlineLevelCol="1"/>
  <cols>
    <col min="1" max="1" width="9.109375" style="11"/>
    <col min="2" max="2" width="7.6640625" style="11" customWidth="1"/>
    <col min="3" max="3" width="7.109375" style="11" customWidth="1" outlineLevel="1"/>
    <col min="4" max="4" width="15.33203125" style="11" customWidth="1"/>
    <col min="5" max="5" width="7.44140625" style="11" customWidth="1"/>
    <col min="6" max="6" width="7.88671875" style="11" customWidth="1" outlineLevel="1"/>
    <col min="7" max="7" width="19" style="11" customWidth="1"/>
    <col min="8" max="8" width="19.88671875" style="11" customWidth="1"/>
    <col min="9" max="9" width="8.109375" style="11" customWidth="1"/>
    <col min="10" max="10" width="8.5546875" style="11" customWidth="1" outlineLevel="1"/>
    <col min="11" max="11" width="18.44140625" style="11" bestFit="1" customWidth="1"/>
    <col min="12" max="12" width="7.33203125" style="11" customWidth="1" outlineLevel="1"/>
    <col min="13" max="13" width="41.44140625" style="11" customWidth="1"/>
    <col min="14" max="14" width="7.5546875" style="11" customWidth="1"/>
    <col min="15" max="15" width="8.44140625" style="11" customWidth="1" outlineLevel="1"/>
    <col min="16" max="19" width="16.44140625" style="11" customWidth="1"/>
    <col min="20" max="20" width="65.33203125" style="11" customWidth="1"/>
    <col min="21" max="21" width="9.6640625" style="11" customWidth="1"/>
    <col min="22" max="22" width="8.33203125" style="11" customWidth="1" outlineLevel="1"/>
    <col min="23" max="25" width="8.33203125" style="916" customWidth="1" outlineLevel="1"/>
    <col min="26" max="26" width="11.33203125" style="11" customWidth="1"/>
    <col min="27" max="27" width="9.33203125" style="11" customWidth="1" outlineLevel="1"/>
    <col min="28" max="28" width="8.109375" style="11" customWidth="1"/>
    <col min="29" max="29" width="8" style="11" customWidth="1" outlineLevel="1"/>
    <col min="30" max="30" width="10.33203125" style="11" customWidth="1"/>
    <col min="31" max="31" width="10.109375" style="11" customWidth="1" outlineLevel="1"/>
    <col min="32" max="32" width="10.109375" style="11" customWidth="1"/>
    <col min="33" max="33" width="7.6640625" style="11" customWidth="1" outlineLevel="1"/>
    <col min="34" max="34" width="9.44140625" style="11" customWidth="1"/>
    <col min="35" max="35" width="7.6640625" style="11" customWidth="1" outlineLevel="1"/>
    <col min="36" max="36" width="10.33203125" style="11" customWidth="1"/>
    <col min="37" max="37" width="7.6640625" style="11" customWidth="1" outlineLevel="1"/>
    <col min="38" max="38" width="8.88671875" style="11" customWidth="1"/>
    <col min="39" max="39" width="8.88671875" style="11" customWidth="1" outlineLevel="1"/>
    <col min="40" max="41" width="8.88671875" style="11" customWidth="1"/>
    <col min="42" max="42" width="8.88671875" style="11" customWidth="1" outlineLevel="1"/>
    <col min="43" max="43" width="8.88671875" style="11" customWidth="1"/>
    <col min="44" max="44" width="8.88671875" style="11" customWidth="1" outlineLevel="1"/>
    <col min="45" max="45" width="8.88671875" style="11" customWidth="1"/>
    <col min="46" max="46" width="8.88671875" style="11" customWidth="1" outlineLevel="1"/>
    <col min="47" max="47" width="8.88671875" style="11" customWidth="1"/>
    <col min="48" max="48" width="8.88671875" style="11" customWidth="1" outlineLevel="1"/>
    <col min="49" max="49" width="9.109375" style="11" customWidth="1"/>
    <col min="50" max="50" width="9.109375" style="11"/>
    <col min="51" max="51" width="9.6640625" style="11" bestFit="1" customWidth="1"/>
    <col min="52" max="16384" width="9.109375" style="11"/>
  </cols>
  <sheetData>
    <row r="1" spans="1:48">
      <c r="L1" s="393"/>
      <c r="AC1" s="392"/>
      <c r="AE1" s="392"/>
      <c r="AI1" s="392"/>
    </row>
    <row r="2" spans="1:48" ht="15" thickBot="1">
      <c r="B2" s="11" t="s">
        <v>63</v>
      </c>
    </row>
    <row r="3" spans="1:48" ht="15" thickBot="1">
      <c r="B3" s="43"/>
      <c r="C3" s="11" t="s">
        <v>66</v>
      </c>
      <c r="D3" s="11" t="s">
        <v>66</v>
      </c>
    </row>
    <row r="4" spans="1:48" ht="15.75" customHeight="1" thickBot="1">
      <c r="B4" s="44"/>
      <c r="C4" s="11" t="s">
        <v>69</v>
      </c>
      <c r="D4" s="11" t="s">
        <v>69</v>
      </c>
    </row>
    <row r="5" spans="1:48" ht="15.75" customHeight="1" thickBot="1">
      <c r="B5" s="45"/>
      <c r="C5" s="11" t="s">
        <v>70</v>
      </c>
      <c r="D5" s="11" t="s">
        <v>70</v>
      </c>
      <c r="T5" s="486" t="s">
        <v>239</v>
      </c>
      <c r="U5" s="486" t="s">
        <v>294</v>
      </c>
      <c r="V5" s="488" t="s">
        <v>293</v>
      </c>
      <c r="W5" s="1297"/>
      <c r="X5" s="1297"/>
      <c r="Y5" s="1297"/>
    </row>
    <row r="6" spans="1:48" ht="15" thickBot="1">
      <c r="B6" s="46"/>
      <c r="C6" s="47" t="s">
        <v>71</v>
      </c>
      <c r="D6" s="47" t="s">
        <v>71</v>
      </c>
      <c r="T6" s="485" t="s">
        <v>198</v>
      </c>
      <c r="U6" s="487">
        <f>'Gross UECs'!D10</f>
        <v>1032.394209933032</v>
      </c>
      <c r="V6" s="489">
        <f>'Gross UECs'!I$7</f>
        <v>123.18759918488838</v>
      </c>
      <c r="W6" s="1298"/>
      <c r="X6" s="1298"/>
      <c r="Y6" s="1298"/>
    </row>
    <row r="7" spans="1:48">
      <c r="T7" s="485" t="s">
        <v>211</v>
      </c>
      <c r="U7" s="487">
        <f>'Gross UECs'!D21</f>
        <v>782</v>
      </c>
      <c r="V7" s="489">
        <f>'Gross UECs'!I$29</f>
        <v>169</v>
      </c>
      <c r="W7" s="1298"/>
      <c r="X7" s="1298"/>
      <c r="Y7" s="1298"/>
    </row>
    <row r="8" spans="1:48">
      <c r="T8" s="485" t="s">
        <v>212</v>
      </c>
      <c r="U8" s="487">
        <f>'Gross UECs'!D32</f>
        <v>744</v>
      </c>
      <c r="V8" s="489">
        <f>'Gross UECs'!I$18</f>
        <v>144</v>
      </c>
      <c r="W8" s="1298"/>
      <c r="X8" s="1298"/>
      <c r="Y8" s="1298"/>
      <c r="Z8" s="334"/>
      <c r="AA8" s="333"/>
      <c r="AB8" s="334"/>
      <c r="AC8" s="333"/>
      <c r="AD8" s="334"/>
      <c r="AE8" s="333"/>
    </row>
    <row r="9" spans="1:48">
      <c r="T9" s="485" t="s">
        <v>295</v>
      </c>
      <c r="U9" s="655">
        <f>443</f>
        <v>443</v>
      </c>
      <c r="V9" s="489">
        <v>0</v>
      </c>
      <c r="W9" s="1298"/>
      <c r="X9" s="1298"/>
      <c r="Y9" s="1298"/>
      <c r="Z9" s="643" t="s">
        <v>411</v>
      </c>
    </row>
    <row r="10" spans="1:48">
      <c r="T10" s="138"/>
      <c r="U10" s="526"/>
    </row>
    <row r="11" spans="1:48" ht="43.2">
      <c r="W11" s="1429" t="s">
        <v>1007</v>
      </c>
      <c r="X11" s="1429"/>
    </row>
    <row r="12" spans="1:48" s="331" customFormat="1" ht="139.94999999999999" customHeight="1" thickBot="1">
      <c r="A12" s="224" t="s">
        <v>220</v>
      </c>
      <c r="B12" s="330" t="s">
        <v>221</v>
      </c>
      <c r="C12" s="223" t="str">
        <f>"SE of "&amp;B12</f>
        <v>SE of Proportions</v>
      </c>
      <c r="D12" s="224" t="s">
        <v>222</v>
      </c>
      <c r="E12" s="330" t="s">
        <v>221</v>
      </c>
      <c r="F12" s="223" t="str">
        <f>"SE of "&amp;E12</f>
        <v>SE of Proportions</v>
      </c>
      <c r="G12" s="331" t="s">
        <v>63</v>
      </c>
      <c r="H12" s="332"/>
      <c r="I12" s="330" t="s">
        <v>221</v>
      </c>
      <c r="J12" s="223" t="str">
        <f>"SE of "&amp;I12</f>
        <v>SE of Proportions</v>
      </c>
      <c r="K12" s="332" t="s">
        <v>63</v>
      </c>
      <c r="L12" s="223" t="e">
        <f>"SE of "&amp;#REF!</f>
        <v>#REF!</v>
      </c>
      <c r="M12" s="263" t="s">
        <v>52</v>
      </c>
      <c r="N12" s="224" t="s">
        <v>226</v>
      </c>
      <c r="O12" s="223" t="str">
        <f>"SE of "&amp;N12</f>
        <v>SE of P2P Coincidence Factor</v>
      </c>
      <c r="P12" s="331" t="s">
        <v>63</v>
      </c>
      <c r="Q12" s="1756" t="s">
        <v>331</v>
      </c>
      <c r="R12" s="1756"/>
      <c r="S12" s="1756"/>
      <c r="T12" s="1757"/>
      <c r="U12" s="114" t="s">
        <v>113</v>
      </c>
      <c r="V12" s="223" t="str">
        <f>"SE of "&amp;U12</f>
        <v>SE of Proportion of program units in this path</v>
      </c>
      <c r="W12" s="1525" t="str">
        <f>"SE of "&amp;V12</f>
        <v>SE of SE of Proportion of program units in this path</v>
      </c>
      <c r="X12" s="294" t="s">
        <v>1014</v>
      </c>
      <c r="Y12" s="294"/>
      <c r="Z12" s="114" t="s">
        <v>115</v>
      </c>
      <c r="AA12" s="294" t="str">
        <f>"SE of "&amp;Z12</f>
        <v>SE of Gross Full Year Consumption</v>
      </c>
      <c r="AB12" s="114" t="s">
        <v>102</v>
      </c>
      <c r="AC12" s="294" t="str">
        <f>"SE of "&amp;AB12</f>
        <v>SE of  Baseline Usage factor</v>
      </c>
      <c r="AD12" s="114" t="s">
        <v>125</v>
      </c>
      <c r="AE12" s="294" t="str">
        <f>"SE of "&amp;AD12</f>
        <v>SE of Gross Baseline UEC (Part use adjusted)</v>
      </c>
      <c r="AF12" s="114" t="s">
        <v>99</v>
      </c>
      <c r="AG12" s="294" t="str">
        <f>"SE of "&amp;AF12</f>
        <v>SE of Program Alternative Full Year Consumption</v>
      </c>
      <c r="AH12" s="114" t="s">
        <v>129</v>
      </c>
      <c r="AI12" s="294" t="str">
        <f>"SE of "&amp;AH12</f>
        <v>SE of Usage Factor on the grid with the Program</v>
      </c>
      <c r="AJ12" s="114" t="s">
        <v>126</v>
      </c>
      <c r="AK12" s="294" t="str">
        <f>"SE of "&amp;AJ12</f>
        <v>SE of Gross UEC with Program (part use adjusted)</v>
      </c>
      <c r="AL12" s="401" t="s">
        <v>112</v>
      </c>
      <c r="AM12" s="294" t="str">
        <f>"SE of "&amp;AL12</f>
        <v>SE of Gross Unit Energy Savings</v>
      </c>
      <c r="AN12" s="114" t="s">
        <v>124</v>
      </c>
      <c r="AO12" s="401" t="s">
        <v>128</v>
      </c>
      <c r="AP12" s="294" t="str">
        <f>"SE of "&amp;AO12</f>
        <v>SE of Net Savings</v>
      </c>
      <c r="AQ12" s="401" t="s">
        <v>243</v>
      </c>
      <c r="AR12" s="294" t="str">
        <f>"SE of "&amp;AQ12</f>
        <v>SE of Aggregate Gross Unit Savings</v>
      </c>
      <c r="AS12" s="401" t="s">
        <v>242</v>
      </c>
      <c r="AT12" s="294" t="str">
        <f>"SE of "&amp;AS12</f>
        <v>SE of Aggregate Net Unit Savings</v>
      </c>
      <c r="AU12" s="114" t="s">
        <v>120</v>
      </c>
      <c r="AV12" s="223" t="str">
        <f>"SE of "&amp;AU12</f>
        <v>SE of NTG Ratio</v>
      </c>
    </row>
    <row r="13" spans="1:48" ht="139.5" hidden="1" customHeight="1" outlineLevel="1" thickBot="1">
      <c r="C13" s="264"/>
      <c r="F13" s="264"/>
      <c r="L13" s="264"/>
      <c r="M13" s="134"/>
      <c r="O13" s="264"/>
      <c r="U13" s="135" t="s">
        <v>123</v>
      </c>
      <c r="V13" s="135"/>
      <c r="W13" s="135"/>
      <c r="X13" s="135"/>
      <c r="Y13" s="135"/>
      <c r="Z13" s="136" t="s">
        <v>151</v>
      </c>
      <c r="AA13" s="136"/>
      <c r="AB13" s="136" t="s">
        <v>118</v>
      </c>
      <c r="AC13" s="136"/>
      <c r="AD13" s="136" t="s">
        <v>119</v>
      </c>
      <c r="AE13" s="136"/>
      <c r="AF13" s="137" t="s">
        <v>117</v>
      </c>
      <c r="AG13" s="137"/>
      <c r="AH13" s="137" t="s">
        <v>122</v>
      </c>
      <c r="AI13" s="137"/>
      <c r="AJ13" s="137" t="s">
        <v>150</v>
      </c>
      <c r="AK13" s="137"/>
      <c r="AL13" s="139"/>
      <c r="AM13" s="137" t="s">
        <v>149</v>
      </c>
      <c r="AN13" s="137"/>
      <c r="AO13" s="335"/>
      <c r="AP13" s="334"/>
      <c r="AQ13" s="334"/>
      <c r="AR13" s="334"/>
      <c r="AS13" s="334"/>
      <c r="AT13" s="334"/>
      <c r="AU13" s="334"/>
      <c r="AV13" s="334"/>
    </row>
    <row r="14" spans="1:48" ht="15" collapsed="1" thickBot="1">
      <c r="A14" s="377" t="s">
        <v>31</v>
      </c>
      <c r="B14" s="378">
        <f>'Part Keep-Discard'!E44/100</f>
        <v>0.16006000000000001</v>
      </c>
      <c r="C14" s="360">
        <f>'Part Keep-Discard'!F44</f>
        <v>3.5116999999999998</v>
      </c>
      <c r="D14" s="380" t="s">
        <v>48</v>
      </c>
      <c r="E14" s="381">
        <f>'Part KIU-KU'!E46/100</f>
        <v>0.88568000000000002</v>
      </c>
      <c r="F14" s="356">
        <f>'Part KIU-KU'!F46</f>
        <v>8.8984000000000005</v>
      </c>
      <c r="G14" s="73" t="s">
        <v>66</v>
      </c>
      <c r="H14" s="73"/>
      <c r="I14" s="1504">
        <v>0</v>
      </c>
      <c r="J14" s="73"/>
      <c r="K14" s="73"/>
      <c r="L14" s="73"/>
      <c r="M14" s="73"/>
      <c r="N14" s="72">
        <v>0</v>
      </c>
      <c r="O14" s="73"/>
      <c r="P14" s="226"/>
      <c r="Q14" s="1823" t="s">
        <v>132</v>
      </c>
      <c r="R14" s="1824"/>
      <c r="S14" s="1824"/>
      <c r="T14" s="1825"/>
      <c r="U14" s="530">
        <f>B14*E14</f>
        <v>0.14176194080000001</v>
      </c>
      <c r="V14" s="367">
        <f>100*U14*SQRT(IF($B$14&gt;0,($C$14/$B$14/100)^2,0)+IF($E14&gt;0,($F14/$E14/100)^2,0))</f>
        <v>3.4208442938735968</v>
      </c>
      <c r="W14" s="1526">
        <f t="shared" ref="W14:W20" si="0">100*U14*SQRT(IF(B14&gt;0,(C14/B14/100)^2,0)+IF(E14&gt;0,(F14/E14/100)^2,0)+IF(I14&gt;0,(J14/I14/100)^2,0)+IF(N14&gt;0,(O14/N14/100)^2,0))</f>
        <v>3.4208442938735968</v>
      </c>
      <c r="X14" s="1526">
        <f>W14*1.654</f>
        <v>5.658076462066929</v>
      </c>
      <c r="Y14" s="1299">
        <v>15</v>
      </c>
      <c r="Z14" s="128">
        <f t="shared" ref="Z14:Z27" si="1">$U$6</f>
        <v>1032.394209933032</v>
      </c>
      <c r="AA14" s="336">
        <f t="shared" ref="AA14:AA27" si="2">$V$6</f>
        <v>123.18759918488838</v>
      </c>
      <c r="AB14" s="120">
        <f>'Part KIU-KU'!H$56</f>
        <v>0.94486729999999997</v>
      </c>
      <c r="AC14" s="297">
        <f>'Part KIU-KU'!J$56</f>
        <v>1.6467900000000001E-2</v>
      </c>
      <c r="AD14" s="124">
        <f t="shared" ref="AD14:AD26" si="3">Z14*AB14</f>
        <v>975.47552967505715</v>
      </c>
      <c r="AE14" s="339">
        <f>AD14*SQRT((AA14/Z14)^2+IF(AB14&gt;0,(AC14/AB14/100)^2,0))</f>
        <v>116.39605840040261</v>
      </c>
      <c r="AF14" s="124">
        <f>$U$6</f>
        <v>1032.394209933032</v>
      </c>
      <c r="AG14" s="339">
        <f>$V$6</f>
        <v>123.18759918488838</v>
      </c>
      <c r="AH14" s="120">
        <v>0</v>
      </c>
      <c r="AI14" s="345">
        <v>0</v>
      </c>
      <c r="AJ14" s="124">
        <f>AF14*AH14</f>
        <v>0</v>
      </c>
      <c r="AK14" s="339">
        <f>AJ14*SQRT(IF(AF14&gt;0,(AG14/AF14)^2,0)+IF(AH14&gt;0,(AI14/AH14/100)^2,0))</f>
        <v>0</v>
      </c>
      <c r="AL14" s="140">
        <f>AD14-AJ14</f>
        <v>975.47552967505715</v>
      </c>
      <c r="AM14" s="351">
        <f>SQRT(AK14^2+AE14^2)</f>
        <v>116.39605840040261</v>
      </c>
      <c r="AN14" s="141">
        <v>1</v>
      </c>
      <c r="AO14" s="140">
        <f>AL14*AN14</f>
        <v>975.47552967505715</v>
      </c>
      <c r="AP14" s="351">
        <f>AM14</f>
        <v>116.39605840040261</v>
      </c>
      <c r="AQ14" s="140">
        <f>AL14*U14</f>
        <v>138.2853042896441</v>
      </c>
      <c r="AR14" s="351">
        <f>AQ14*SQRT(IF(U14&gt;0,(V14/U14/100)^2,0)+IF(AL14&gt;0,(AM14/AL14),0))</f>
        <v>58.269240881081402</v>
      </c>
      <c r="AS14" s="140">
        <f t="shared" ref="AS14:AS27" si="4">AO14*U14</f>
        <v>138.2853042896441</v>
      </c>
      <c r="AT14" s="351">
        <f>AS14*SQRT(IF(AO14&gt;0,(AP14/AO14)^2,0)+IF(U14&gt;0,(V14/U14/100)^2,0))</f>
        <v>37.226213762497842</v>
      </c>
      <c r="AU14" s="298">
        <f>IF(AQ14&gt;0,AS14/AQ14,0)</f>
        <v>1</v>
      </c>
      <c r="AV14" s="404">
        <f>AU14*SQRT(IF(AQ14&gt;0,(AR14/AQ14)^2,0)+IF(AS14&gt;0,(AT14/AS14)^2,0))</f>
        <v>0.50002034586443433</v>
      </c>
    </row>
    <row r="15" spans="1:48" ht="15" thickBot="1">
      <c r="A15" s="379"/>
      <c r="B15" s="1510">
        <f>B14</f>
        <v>0.16006000000000001</v>
      </c>
      <c r="C15" s="1511">
        <f>C14</f>
        <v>3.5116999999999998</v>
      </c>
      <c r="D15" s="380" t="s">
        <v>49</v>
      </c>
      <c r="E15" s="381">
        <f>'Part KIU-KU'!E45/100</f>
        <v>0.11432</v>
      </c>
      <c r="F15" s="356">
        <f>'Part KIU-KU'!F45</f>
        <v>8.8984000000000005</v>
      </c>
      <c r="G15" s="73" t="s">
        <v>66</v>
      </c>
      <c r="H15" s="73"/>
      <c r="I15" s="1504">
        <v>0</v>
      </c>
      <c r="J15" s="73"/>
      <c r="K15" s="73"/>
      <c r="L15" s="73"/>
      <c r="M15" s="73"/>
      <c r="N15" s="72">
        <v>0</v>
      </c>
      <c r="O15" s="73"/>
      <c r="P15" s="226"/>
      <c r="Q15" s="1823" t="s">
        <v>49</v>
      </c>
      <c r="R15" s="1824"/>
      <c r="S15" s="1824"/>
      <c r="T15" s="1825"/>
      <c r="U15" s="530">
        <f>B14*E15</f>
        <v>1.8298059200000001E-2</v>
      </c>
      <c r="V15" s="367">
        <f>100*U15*SQRT(IF($B$14&gt;0,($C$14/$B$14/100)^2,0)+IF(E15&gt;0,(F15/E15/100)^2,0))</f>
        <v>1.4797755598255924</v>
      </c>
      <c r="W15" s="1526">
        <f t="shared" si="0"/>
        <v>1.4797755598255924</v>
      </c>
      <c r="X15" s="1526">
        <f>W15*1.654</f>
        <v>2.4475487759515295</v>
      </c>
      <c r="Y15" s="1300">
        <v>15</v>
      </c>
      <c r="Z15" s="129">
        <f t="shared" si="1"/>
        <v>1032.394209933032</v>
      </c>
      <c r="AA15" s="337">
        <f t="shared" si="2"/>
        <v>123.18759918488838</v>
      </c>
      <c r="AB15" s="119">
        <v>0</v>
      </c>
      <c r="AC15" s="295">
        <v>0</v>
      </c>
      <c r="AD15" s="125">
        <f t="shared" si="3"/>
        <v>0</v>
      </c>
      <c r="AE15" s="340">
        <f t="shared" ref="AE15:AE27" si="5">AD15*SQRT((AA15/Z15)^2+IF(AB15&gt;0,(AC15/AB15/100)^2,0))</f>
        <v>0</v>
      </c>
      <c r="AF15" s="125">
        <f>$U$6</f>
        <v>1032.394209933032</v>
      </c>
      <c r="AG15" s="340">
        <f>$V$6</f>
        <v>123.18759918488838</v>
      </c>
      <c r="AH15" s="117">
        <v>0</v>
      </c>
      <c r="AI15" s="346">
        <v>0</v>
      </c>
      <c r="AJ15" s="117">
        <f t="shared" ref="AJ15:AK26" si="6">AH15*AF15</f>
        <v>0</v>
      </c>
      <c r="AK15" s="340">
        <f t="shared" ref="AK15:AK27" si="7">AJ15*SQRT(IF(AF15&gt;0,(AG15/AF15)^2,0)+IF(AH15&gt;0,(AI15/AH15/100)^2,0))</f>
        <v>0</v>
      </c>
      <c r="AL15" s="142">
        <f t="shared" ref="AL15:AL27" si="8">AD15-AJ15</f>
        <v>0</v>
      </c>
      <c r="AM15" s="352">
        <f t="shared" ref="AM15:AM27" si="9">SQRT(AK15^2+AE15^2)</f>
        <v>0</v>
      </c>
      <c r="AN15" s="143">
        <v>1</v>
      </c>
      <c r="AO15" s="142">
        <f t="shared" ref="AO15:AO27" si="10">AL15*AN15</f>
        <v>0</v>
      </c>
      <c r="AP15" s="352">
        <f t="shared" ref="AP15:AP26" si="11">AM15</f>
        <v>0</v>
      </c>
      <c r="AQ15" s="142">
        <f t="shared" ref="AQ15:AQ27" si="12">AL15*U15</f>
        <v>0</v>
      </c>
      <c r="AR15" s="352">
        <f t="shared" ref="AR15:AR27" si="13">AQ15*SQRT(IF(U15&gt;0,(V15/U15/100)^2,0)+IF(AL15&gt;0,(AM15/AL15),0))</f>
        <v>0</v>
      </c>
      <c r="AS15" s="142">
        <f t="shared" si="4"/>
        <v>0</v>
      </c>
      <c r="AT15" s="352">
        <f t="shared" ref="AT15:AT27" si="14">AS15*SQRT(IF(AO15&gt;0,(AP15/AO15)^2,0)+IF(U15&gt;0,(V15/U15/100)^2,0))</f>
        <v>0</v>
      </c>
      <c r="AU15" s="299" t="s">
        <v>130</v>
      </c>
      <c r="AV15" s="352" t="s">
        <v>130</v>
      </c>
    </row>
    <row r="16" spans="1:48" ht="15" thickBot="1">
      <c r="A16" s="377" t="s">
        <v>32</v>
      </c>
      <c r="B16" s="378">
        <f>'Part Keep-Discard'!E43/100</f>
        <v>0.83994000000000002</v>
      </c>
      <c r="C16" s="360">
        <f>'Part Keep-Discard'!F43</f>
        <v>3.5116999999999998</v>
      </c>
      <c r="D16" s="382" t="s">
        <v>53</v>
      </c>
      <c r="E16" s="383">
        <f>'Discarder Disposition'!H37/100</f>
        <v>0.15021899999999999</v>
      </c>
      <c r="F16" s="357">
        <f>'Discarder Disposition'!I37</f>
        <v>4.1147</v>
      </c>
      <c r="G16" s="57" t="s">
        <v>64</v>
      </c>
      <c r="H16" s="57"/>
      <c r="I16" s="1519">
        <v>0</v>
      </c>
      <c r="J16" s="57"/>
      <c r="K16" s="57"/>
      <c r="L16" s="57"/>
      <c r="M16" s="57"/>
      <c r="N16" s="1518">
        <v>0</v>
      </c>
      <c r="O16" s="57"/>
      <c r="P16" s="228"/>
      <c r="Q16" s="1826" t="s">
        <v>133</v>
      </c>
      <c r="R16" s="1827"/>
      <c r="S16" s="1827"/>
      <c r="T16" s="1828"/>
      <c r="U16" s="537">
        <f>B16*E16</f>
        <v>0.12617494686</v>
      </c>
      <c r="V16" s="368">
        <f>100*U16*SQRT(IF($B$16&gt;0,($C$16/$B$16/100)^2,0)+IF(E16&gt;0,(F16/E16/100)^2,0))</f>
        <v>3.4961287982776534</v>
      </c>
      <c r="W16" s="1527">
        <f t="shared" si="0"/>
        <v>3.4961287982776534</v>
      </c>
      <c r="X16" s="1527">
        <f t="shared" ref="X15:X27" si="15">W16*1.654</f>
        <v>5.7825970323512381</v>
      </c>
      <c r="Y16" s="1301">
        <v>74</v>
      </c>
      <c r="Z16" s="130">
        <f t="shared" si="1"/>
        <v>1032.394209933032</v>
      </c>
      <c r="AA16" s="338">
        <f t="shared" si="2"/>
        <v>123.18759918488838</v>
      </c>
      <c r="AB16" s="122">
        <f>SUMPRODUCT(AB17:AB26,U17:U26)/SUM(U17:U26)</f>
        <v>0.94486729999999985</v>
      </c>
      <c r="AC16" s="296">
        <f>'Part KIU-KU'!J$56</f>
        <v>1.6467900000000001E-2</v>
      </c>
      <c r="AD16" s="126">
        <f>SUMPRODUCT(AD17:AD26,U17:U26)/SUM(U17:U26)</f>
        <v>975.47552967505703</v>
      </c>
      <c r="AE16" s="341">
        <f t="shared" si="5"/>
        <v>116.39605840040259</v>
      </c>
      <c r="AF16" s="126">
        <f>SUMPRODUCT(AF17:AF26,U17:U26)/SUM(U17:U26)</f>
        <v>235.26613102352528</v>
      </c>
      <c r="AG16" s="341">
        <v>0</v>
      </c>
      <c r="AH16" s="121">
        <f>SUMPRODUCT(AH17:AH26,U17:U26)/SUM(U17:U26)</f>
        <v>0.94486729999999985</v>
      </c>
      <c r="AI16" s="347">
        <v>0</v>
      </c>
      <c r="AJ16" s="125">
        <f>SUMPRODUCT(AJ17:AJ26,U17:U26)/SUM(U17:U26)</f>
        <v>222.29527400164454</v>
      </c>
      <c r="AK16" s="341">
        <f t="shared" si="7"/>
        <v>0</v>
      </c>
      <c r="AL16" s="144">
        <f t="shared" si="8"/>
        <v>753.18025567341249</v>
      </c>
      <c r="AM16" s="353">
        <f t="shared" si="9"/>
        <v>116.39605840040259</v>
      </c>
      <c r="AN16" s="145">
        <v>0</v>
      </c>
      <c r="AO16" s="146">
        <f t="shared" si="10"/>
        <v>0</v>
      </c>
      <c r="AP16" s="353">
        <v>0</v>
      </c>
      <c r="AQ16" s="144">
        <f t="shared" si="12"/>
        <v>95.032478735594026</v>
      </c>
      <c r="AR16" s="353">
        <f t="shared" si="13"/>
        <v>45.706176025129075</v>
      </c>
      <c r="AS16" s="146">
        <f t="shared" si="4"/>
        <v>0</v>
      </c>
      <c r="AT16" s="353">
        <f t="shared" si="14"/>
        <v>0</v>
      </c>
      <c r="AU16" s="300">
        <f>IF(AQ16&gt;0,AS16/AQ16,0)</f>
        <v>0</v>
      </c>
      <c r="AV16" s="403">
        <f>AU16*SQRT(IF(AQ16&gt;0,(AR16/AQ16)^2,0)+IF(AS16&gt;0,(AT16/AS16)^2,0))</f>
        <v>0</v>
      </c>
    </row>
    <row r="17" spans="1:48">
      <c r="A17" s="60"/>
      <c r="B17" s="1510">
        <f t="shared" ref="B17:B27" si="16">B16</f>
        <v>0.83994000000000002</v>
      </c>
      <c r="C17" s="1511">
        <f t="shared" ref="C17:C27" si="17">C16</f>
        <v>3.5116999999999998</v>
      </c>
      <c r="D17" s="384" t="s">
        <v>62</v>
      </c>
      <c r="E17" s="385">
        <f>'Discarder Disposition'!H38/100</f>
        <v>0.407528</v>
      </c>
      <c r="F17" s="358">
        <f>'Discarder Disposition'!I38</f>
        <v>5.9932999999999996</v>
      </c>
      <c r="G17" s="52" t="s">
        <v>64</v>
      </c>
      <c r="H17" s="230"/>
      <c r="I17" s="1520">
        <v>0</v>
      </c>
      <c r="J17" s="230"/>
      <c r="K17" s="231"/>
      <c r="L17" s="361">
        <v>2.444</v>
      </c>
      <c r="M17" s="89" t="s">
        <v>72</v>
      </c>
      <c r="N17" s="90">
        <f>'P2P CF if Unit not available'!AH16/100</f>
        <v>0</v>
      </c>
      <c r="O17" s="233">
        <f>'P2P CF if Unit not available'!F16</f>
        <v>4.6958000000000002</v>
      </c>
      <c r="P17" s="209" t="s">
        <v>67</v>
      </c>
      <c r="Q17" s="1829" t="s">
        <v>340</v>
      </c>
      <c r="R17" s="1809" t="s">
        <v>341</v>
      </c>
      <c r="S17" s="1810"/>
      <c r="T17" s="89" t="s">
        <v>344</v>
      </c>
      <c r="U17" s="270">
        <f>B16*E17*N17</f>
        <v>0</v>
      </c>
      <c r="V17" s="369">
        <f>100*U17*SQRT(IF($B$16&gt;0,($C$16/$B$16/100)^2,0)+IF($E$17&gt;0,($F$17/$E$17/100)^2,0)+IF(N17&gt;0,(O17/N17/100)^2,0))</f>
        <v>0</v>
      </c>
      <c r="W17" s="1528">
        <f t="shared" si="0"/>
        <v>0</v>
      </c>
      <c r="X17" s="1528">
        <f t="shared" si="15"/>
        <v>0</v>
      </c>
      <c r="Y17" s="1302">
        <v>18</v>
      </c>
      <c r="Z17" s="128">
        <f t="shared" si="1"/>
        <v>1032.394209933032</v>
      </c>
      <c r="AA17" s="336">
        <f t="shared" si="2"/>
        <v>123.18759918488838</v>
      </c>
      <c r="AB17" s="120">
        <f>'Part KIU-KU'!H$56</f>
        <v>0.94486729999999997</v>
      </c>
      <c r="AC17" s="297">
        <v>0</v>
      </c>
      <c r="AD17" s="124">
        <f t="shared" si="3"/>
        <v>975.47552967505715</v>
      </c>
      <c r="AE17" s="339">
        <f t="shared" si="5"/>
        <v>116.39593423530769</v>
      </c>
      <c r="AF17" s="131">
        <f>$U$7</f>
        <v>782</v>
      </c>
      <c r="AG17" s="343">
        <f>$V$7</f>
        <v>169</v>
      </c>
      <c r="AH17" s="521">
        <f>'Part KIU-KU'!H$56</f>
        <v>0.94486729999999997</v>
      </c>
      <c r="AI17" s="345">
        <v>0</v>
      </c>
      <c r="AJ17" s="124">
        <f t="shared" si="6"/>
        <v>738.88622859999998</v>
      </c>
      <c r="AK17" s="339">
        <f t="shared" si="7"/>
        <v>159.68257370000001</v>
      </c>
      <c r="AL17" s="140">
        <f t="shared" si="8"/>
        <v>236.58930107505716</v>
      </c>
      <c r="AM17" s="351">
        <f t="shared" si="9"/>
        <v>197.60196823403862</v>
      </c>
      <c r="AN17" s="141">
        <v>1</v>
      </c>
      <c r="AO17" s="140">
        <f t="shared" si="10"/>
        <v>236.58930107505716</v>
      </c>
      <c r="AP17" s="351">
        <f t="shared" si="11"/>
        <v>197.60196823403862</v>
      </c>
      <c r="AQ17" s="140">
        <f t="shared" si="12"/>
        <v>0</v>
      </c>
      <c r="AR17" s="351">
        <f>AQ17*SQRT(IF(U17&gt;0,(V17/U17/100)^2,0)+IF(AL17&gt;0,(AM17/AL17),0))</f>
        <v>0</v>
      </c>
      <c r="AS17" s="140">
        <f t="shared" si="4"/>
        <v>0</v>
      </c>
      <c r="AT17" s="351">
        <f t="shared" si="14"/>
        <v>0</v>
      </c>
      <c r="AU17" s="298">
        <f>IF(AQ17&gt;0,AS17/AQ17,0)</f>
        <v>0</v>
      </c>
      <c r="AV17" s="404">
        <f t="shared" ref="AV17:AV27" si="18">AU17*SQRT(IF(AQ17&gt;0,(AR17/AQ17)^2,0)+IF(AS17&gt;0,(AT17/AS17)^2,0))</f>
        <v>0</v>
      </c>
    </row>
    <row r="18" spans="1:48">
      <c r="A18" s="60"/>
      <c r="B18" s="1510">
        <f t="shared" si="16"/>
        <v>0.83994000000000002</v>
      </c>
      <c r="C18" s="1511">
        <f t="shared" si="17"/>
        <v>3.5116999999999998</v>
      </c>
      <c r="D18" s="384"/>
      <c r="E18" s="1514">
        <f>E17</f>
        <v>0.407528</v>
      </c>
      <c r="F18" s="1515">
        <f t="shared" ref="F18:F20" si="19">F17</f>
        <v>5.9932999999999996</v>
      </c>
      <c r="G18" s="52"/>
      <c r="H18" s="52"/>
      <c r="I18" s="1521">
        <v>0</v>
      </c>
      <c r="J18" s="52"/>
      <c r="K18" s="59"/>
      <c r="L18" s="361"/>
      <c r="M18" s="89" t="s">
        <v>73</v>
      </c>
      <c r="N18" s="90">
        <f>'P2P CF if Unit not available'!AH17/100</f>
        <v>0.16502700000000001</v>
      </c>
      <c r="O18" s="233">
        <f>'P2P CF if Unit not available'!F17</f>
        <v>6.4302000000000001</v>
      </c>
      <c r="P18" s="209" t="s">
        <v>67</v>
      </c>
      <c r="Q18" s="1830"/>
      <c r="R18" s="1811"/>
      <c r="S18" s="1812"/>
      <c r="T18" s="89" t="s">
        <v>345</v>
      </c>
      <c r="U18" s="270">
        <f>B16*E17*N18</f>
        <v>5.6488588347644642E-2</v>
      </c>
      <c r="V18" s="370">
        <f t="shared" ref="V18:V20" si="20">100*U18*SQRT(IF($B$16&gt;0,($C$16/$B$16/100)^2,0)+IF($E$17&gt;0,($F$17/$E$17/100)^2,0)+IF(N18&gt;0,(O18/N18/100)^2,0))</f>
        <v>2.3644338304540962</v>
      </c>
      <c r="W18" s="1529">
        <f t="shared" si="0"/>
        <v>2.3644338304540962</v>
      </c>
      <c r="X18" s="1529">
        <f t="shared" si="15"/>
        <v>3.9107735555710748</v>
      </c>
      <c r="Y18" s="1303">
        <v>18</v>
      </c>
      <c r="Z18" s="129">
        <f t="shared" si="1"/>
        <v>1032.394209933032</v>
      </c>
      <c r="AA18" s="337">
        <f t="shared" si="2"/>
        <v>123.18759918488838</v>
      </c>
      <c r="AB18" s="119">
        <f>'Part KIU-KU'!H$56</f>
        <v>0.94486729999999997</v>
      </c>
      <c r="AC18" s="295">
        <v>0</v>
      </c>
      <c r="AD18" s="125">
        <f t="shared" si="3"/>
        <v>975.47552967505715</v>
      </c>
      <c r="AE18" s="340">
        <f t="shared" si="5"/>
        <v>116.39593423530769</v>
      </c>
      <c r="AF18" s="125">
        <f>$U$8</f>
        <v>744</v>
      </c>
      <c r="AG18" s="340">
        <f>$V$8</f>
        <v>144</v>
      </c>
      <c r="AH18" s="522">
        <f>'Part KIU-KU'!H$56</f>
        <v>0.94486729999999997</v>
      </c>
      <c r="AI18" s="346">
        <v>0</v>
      </c>
      <c r="AJ18" s="125">
        <f t="shared" si="6"/>
        <v>702.98127119999992</v>
      </c>
      <c r="AK18" s="340">
        <f t="shared" si="7"/>
        <v>136.06089119999999</v>
      </c>
      <c r="AL18" s="147">
        <f t="shared" si="8"/>
        <v>272.49425847505722</v>
      </c>
      <c r="AM18" s="354">
        <f t="shared" si="9"/>
        <v>179.05468332509011</v>
      </c>
      <c r="AN18" s="148">
        <v>1</v>
      </c>
      <c r="AO18" s="147">
        <f t="shared" si="10"/>
        <v>272.49425847505722</v>
      </c>
      <c r="AP18" s="354">
        <f t="shared" si="11"/>
        <v>179.05468332509011</v>
      </c>
      <c r="AQ18" s="147">
        <f t="shared" si="12"/>
        <v>15.392815994094185</v>
      </c>
      <c r="AR18" s="354">
        <f>AQ18*SQRT(IF(U18&gt;0,(V18/U18/100)^2,0)+IF(AL18&gt;0,(AM18/AL18),0))</f>
        <v>14.042895313074151</v>
      </c>
      <c r="AS18" s="147">
        <f t="shared" si="4"/>
        <v>15.392815994094185</v>
      </c>
      <c r="AT18" s="354">
        <f t="shared" si="14"/>
        <v>11.99231443716425</v>
      </c>
      <c r="AU18" s="299">
        <f t="shared" ref="AU18:AU27" si="21">IF(AQ18&gt;0,AS18/AQ18,0)</f>
        <v>1</v>
      </c>
      <c r="AV18" s="405">
        <f t="shared" si="18"/>
        <v>1.1996951445786832</v>
      </c>
    </row>
    <row r="19" spans="1:48">
      <c r="A19" s="60"/>
      <c r="B19" s="1510">
        <f t="shared" si="16"/>
        <v>0.83994000000000002</v>
      </c>
      <c r="C19" s="1511">
        <f t="shared" si="17"/>
        <v>3.5116999999999998</v>
      </c>
      <c r="D19" s="384"/>
      <c r="E19" s="1514">
        <f t="shared" ref="E19:E20" si="22">E18</f>
        <v>0.407528</v>
      </c>
      <c r="F19" s="1515">
        <f t="shared" si="19"/>
        <v>5.9932999999999996</v>
      </c>
      <c r="G19" s="52"/>
      <c r="H19" s="52"/>
      <c r="I19" s="1521">
        <v>0</v>
      </c>
      <c r="J19" s="52"/>
      <c r="K19" s="59"/>
      <c r="L19" s="361"/>
      <c r="M19" s="89" t="s">
        <v>74</v>
      </c>
      <c r="N19" s="90">
        <f>'P2P CF if Unit not available'!AH18/100</f>
        <v>0.132413</v>
      </c>
      <c r="O19" s="233">
        <f>'P2P CF if Unit not available'!F18</f>
        <v>6.7232000000000003</v>
      </c>
      <c r="P19" s="209" t="s">
        <v>67</v>
      </c>
      <c r="Q19" s="1830"/>
      <c r="R19" s="1811"/>
      <c r="S19" s="1812"/>
      <c r="T19" s="89" t="s">
        <v>346</v>
      </c>
      <c r="U19" s="270">
        <f>B16*E17*N19</f>
        <v>4.5324846533456163E-2</v>
      </c>
      <c r="V19" s="370">
        <f t="shared" si="20"/>
        <v>2.4034168792895034</v>
      </c>
      <c r="W19" s="1529">
        <f t="shared" si="0"/>
        <v>2.4034168792895034</v>
      </c>
      <c r="X19" s="1529">
        <f t="shared" si="15"/>
        <v>3.9752515183448383</v>
      </c>
      <c r="Y19" s="1303">
        <v>18</v>
      </c>
      <c r="Z19" s="129">
        <f t="shared" si="1"/>
        <v>1032.394209933032</v>
      </c>
      <c r="AA19" s="337">
        <f t="shared" si="2"/>
        <v>123.18759918488838</v>
      </c>
      <c r="AB19" s="119">
        <f>'Part KIU-KU'!H$56</f>
        <v>0.94486729999999997</v>
      </c>
      <c r="AC19" s="295">
        <v>0</v>
      </c>
      <c r="AD19" s="125">
        <f t="shared" si="3"/>
        <v>975.47552967505715</v>
      </c>
      <c r="AE19" s="340">
        <f t="shared" si="5"/>
        <v>116.39593423530769</v>
      </c>
      <c r="AF19" s="132">
        <f>U9</f>
        <v>443</v>
      </c>
      <c r="AG19" s="344">
        <f>$V$9</f>
        <v>0</v>
      </c>
      <c r="AH19" s="522">
        <f>'Part KIU-KU'!H$56</f>
        <v>0.94486729999999997</v>
      </c>
      <c r="AI19" s="346">
        <v>0</v>
      </c>
      <c r="AJ19" s="125">
        <f t="shared" si="6"/>
        <v>418.57621389999997</v>
      </c>
      <c r="AK19" s="340">
        <f t="shared" si="7"/>
        <v>0</v>
      </c>
      <c r="AL19" s="147">
        <f t="shared" si="8"/>
        <v>556.89931577505718</v>
      </c>
      <c r="AM19" s="354">
        <f t="shared" si="9"/>
        <v>116.39593423530769</v>
      </c>
      <c r="AN19" s="148">
        <v>1</v>
      </c>
      <c r="AO19" s="147">
        <f t="shared" si="10"/>
        <v>556.89931577505718</v>
      </c>
      <c r="AP19" s="354">
        <f t="shared" si="11"/>
        <v>116.39593423530769</v>
      </c>
      <c r="AQ19" s="147">
        <f t="shared" si="12"/>
        <v>25.24137602209121</v>
      </c>
      <c r="AR19" s="354">
        <f t="shared" si="13"/>
        <v>17.67234984489864</v>
      </c>
      <c r="AS19" s="147">
        <f t="shared" si="4"/>
        <v>25.24137602209121</v>
      </c>
      <c r="AT19" s="354">
        <f t="shared" si="14"/>
        <v>14.38680269707891</v>
      </c>
      <c r="AU19" s="299">
        <f t="shared" si="21"/>
        <v>1</v>
      </c>
      <c r="AV19" s="405">
        <f t="shared" si="18"/>
        <v>0.90280261125495942</v>
      </c>
    </row>
    <row r="20" spans="1:48" ht="15" thickBot="1">
      <c r="A20" s="60"/>
      <c r="B20" s="1510">
        <f t="shared" si="16"/>
        <v>0.83994000000000002</v>
      </c>
      <c r="C20" s="1511">
        <f t="shared" si="17"/>
        <v>3.5116999999999998</v>
      </c>
      <c r="D20" s="384"/>
      <c r="E20" s="1514">
        <f t="shared" si="22"/>
        <v>0.407528</v>
      </c>
      <c r="F20" s="1515">
        <f t="shared" si="19"/>
        <v>5.9932999999999996</v>
      </c>
      <c r="G20" s="52"/>
      <c r="H20" s="52"/>
      <c r="I20" s="1521">
        <v>0</v>
      </c>
      <c r="J20" s="52"/>
      <c r="K20" s="59"/>
      <c r="L20" s="362"/>
      <c r="M20" s="91" t="s">
        <v>76</v>
      </c>
      <c r="N20" s="90">
        <f>'P2P CF if Unit not available'!AH19/100</f>
        <v>0.70255999999999996</v>
      </c>
      <c r="O20" s="235">
        <f>'P2P CF if Unit not available'!F19</f>
        <v>7.6356000000000002</v>
      </c>
      <c r="P20" s="210" t="s">
        <v>67</v>
      </c>
      <c r="Q20" s="1830"/>
      <c r="R20" s="1813"/>
      <c r="S20" s="1814"/>
      <c r="T20" s="91" t="s">
        <v>347</v>
      </c>
      <c r="U20" s="273">
        <f>B16*E17*N20</f>
        <v>0.2404856334388992</v>
      </c>
      <c r="V20" s="371">
        <f t="shared" si="20"/>
        <v>4.5111360504628468</v>
      </c>
      <c r="W20" s="1530">
        <f t="shared" si="0"/>
        <v>4.5111360504628468</v>
      </c>
      <c r="X20" s="1530">
        <f t="shared" si="15"/>
        <v>7.4614190274655483</v>
      </c>
      <c r="Y20" s="1304">
        <v>18</v>
      </c>
      <c r="Z20" s="130">
        <f t="shared" si="1"/>
        <v>1032.394209933032</v>
      </c>
      <c r="AA20" s="338">
        <f t="shared" si="2"/>
        <v>123.18759918488838</v>
      </c>
      <c r="AB20" s="122">
        <f>'Part KIU-KU'!H$56</f>
        <v>0.94486729999999997</v>
      </c>
      <c r="AC20" s="296">
        <v>0</v>
      </c>
      <c r="AD20" s="126">
        <f t="shared" si="3"/>
        <v>975.47552967505715</v>
      </c>
      <c r="AE20" s="341">
        <f t="shared" si="5"/>
        <v>116.39593423530769</v>
      </c>
      <c r="AF20" s="126">
        <v>0</v>
      </c>
      <c r="AG20" s="341">
        <v>0</v>
      </c>
      <c r="AH20" s="121">
        <f>'Part KIU-KU'!H$56</f>
        <v>0.94486729999999997</v>
      </c>
      <c r="AI20" s="347">
        <v>0</v>
      </c>
      <c r="AJ20" s="126">
        <f t="shared" si="6"/>
        <v>0</v>
      </c>
      <c r="AK20" s="341">
        <f t="shared" si="7"/>
        <v>0</v>
      </c>
      <c r="AL20" s="144">
        <f t="shared" si="8"/>
        <v>975.47552967505715</v>
      </c>
      <c r="AM20" s="355">
        <f t="shared" si="9"/>
        <v>116.39593423530769</v>
      </c>
      <c r="AN20" s="149">
        <v>1</v>
      </c>
      <c r="AO20" s="144">
        <f t="shared" si="10"/>
        <v>975.47552967505715</v>
      </c>
      <c r="AP20" s="355">
        <f t="shared" si="11"/>
        <v>116.39593423530769</v>
      </c>
      <c r="AQ20" s="144">
        <f t="shared" si="12"/>
        <v>234.58785065805182</v>
      </c>
      <c r="AR20" s="355">
        <f t="shared" si="13"/>
        <v>92.211279457612846</v>
      </c>
      <c r="AS20" s="144">
        <f t="shared" si="4"/>
        <v>234.58785065805182</v>
      </c>
      <c r="AT20" s="355">
        <f t="shared" si="14"/>
        <v>52.153325724415076</v>
      </c>
      <c r="AU20" s="300">
        <f t="shared" si="21"/>
        <v>1</v>
      </c>
      <c r="AV20" s="406">
        <f t="shared" si="18"/>
        <v>0.45159260977887433</v>
      </c>
    </row>
    <row r="21" spans="1:48">
      <c r="A21" s="60"/>
      <c r="B21" s="1510">
        <f t="shared" si="16"/>
        <v>0.83994000000000002</v>
      </c>
      <c r="C21" s="1511">
        <f t="shared" si="17"/>
        <v>3.5116999999999998</v>
      </c>
      <c r="D21" s="386" t="s">
        <v>228</v>
      </c>
      <c r="E21" s="387">
        <f>'Discarder Disposition'!H39/100</f>
        <v>0.44225299999999995</v>
      </c>
      <c r="F21" s="359">
        <f>'Discarder Disposition'!I39</f>
        <v>5.9988999999999999</v>
      </c>
      <c r="G21" s="231" t="s">
        <v>64</v>
      </c>
      <c r="H21" s="388" t="s">
        <v>54</v>
      </c>
      <c r="I21" s="64">
        <f>SecMktProportions!E6</f>
        <v>0.57240100000000005</v>
      </c>
      <c r="J21" s="301">
        <f>SecMktProportions!F6</f>
        <v>0.33073000000000002</v>
      </c>
      <c r="K21" s="61" t="s">
        <v>65</v>
      </c>
      <c r="L21" s="363">
        <v>2.7088999999999999</v>
      </c>
      <c r="M21" s="93" t="s">
        <v>77</v>
      </c>
      <c r="N21" s="94">
        <f>'Ret CF if Unit not available'!AH14/100</f>
        <v>0.244227</v>
      </c>
      <c r="O21" s="245">
        <f>'Ret CF if Unit not available'!F14</f>
        <v>5.0826000000000002</v>
      </c>
      <c r="P21" s="201" t="s">
        <v>67</v>
      </c>
      <c r="Q21" s="1830"/>
      <c r="R21" s="1818" t="s">
        <v>88</v>
      </c>
      <c r="S21" s="1815" t="s">
        <v>348</v>
      </c>
      <c r="T21" s="93" t="s">
        <v>345</v>
      </c>
      <c r="U21" s="281">
        <f>$B$16*$E$21*$I$21*N21</f>
        <v>5.192937672994366E-2</v>
      </c>
      <c r="V21" s="372">
        <f>100*U21*SQRT(IF($B$16&gt;0,($C$16/$B$16/100)^2,0)+IF($E$21&gt;0,($F$21/$E$21/100)^2,0)+IF($I$21&gt;0,($J$21/$I$21/100)^2,0)+IF(N21&gt;0,(O21/N21/100)^2,0))</f>
        <v>1.3084793525470542</v>
      </c>
      <c r="W21" s="1531">
        <f>100*U21*SQRT(IF(B21&gt;0,(C21/B21/100)^2,0)+IF(E21&gt;0,(F21/E21/100)^2,0)+IF(I21&gt;0,(J21/I21/100)^2,0)+IF(N21&gt;0,(O21/N21/100)^2,0))</f>
        <v>1.3084793525470542</v>
      </c>
      <c r="X21" s="1531">
        <f t="shared" si="15"/>
        <v>2.1642248491128275</v>
      </c>
      <c r="Y21" s="1305">
        <v>31</v>
      </c>
      <c r="Z21" s="128">
        <f t="shared" si="1"/>
        <v>1032.394209933032</v>
      </c>
      <c r="AA21" s="336">
        <f t="shared" si="2"/>
        <v>123.18759918488838</v>
      </c>
      <c r="AB21" s="120">
        <f>'Part KIU-KU'!H$56</f>
        <v>0.94486729999999997</v>
      </c>
      <c r="AC21" s="297">
        <v>0</v>
      </c>
      <c r="AD21" s="124">
        <f t="shared" si="3"/>
        <v>975.47552967505715</v>
      </c>
      <c r="AE21" s="339">
        <f t="shared" si="5"/>
        <v>116.39593423530769</v>
      </c>
      <c r="AF21" s="124">
        <f>$U$8</f>
        <v>744</v>
      </c>
      <c r="AG21" s="340">
        <f>$V$8</f>
        <v>144</v>
      </c>
      <c r="AH21" s="521">
        <f>'Part KIU-KU'!H$56</f>
        <v>0.94486729999999997</v>
      </c>
      <c r="AI21" s="345">
        <v>0</v>
      </c>
      <c r="AJ21" s="124">
        <f t="shared" si="6"/>
        <v>702.98127119999992</v>
      </c>
      <c r="AK21" s="339">
        <f t="shared" si="7"/>
        <v>136.06089119999999</v>
      </c>
      <c r="AL21" s="140">
        <f t="shared" si="8"/>
        <v>272.49425847505722</v>
      </c>
      <c r="AM21" s="351">
        <f t="shared" si="9"/>
        <v>179.05468332509011</v>
      </c>
      <c r="AN21" s="141">
        <v>1</v>
      </c>
      <c r="AO21" s="140">
        <f t="shared" si="10"/>
        <v>272.49425847505722</v>
      </c>
      <c r="AP21" s="351">
        <f t="shared" si="11"/>
        <v>179.05468332509011</v>
      </c>
      <c r="AQ21" s="140">
        <f t="shared" si="12"/>
        <v>14.15045700509789</v>
      </c>
      <c r="AR21" s="351">
        <f t="shared" si="13"/>
        <v>12.011942582625007</v>
      </c>
      <c r="AS21" s="140">
        <f t="shared" si="4"/>
        <v>14.15045700509789</v>
      </c>
      <c r="AT21" s="351">
        <f t="shared" si="14"/>
        <v>9.958388428922996</v>
      </c>
      <c r="AU21" s="298">
        <f t="shared" si="21"/>
        <v>1</v>
      </c>
      <c r="AV21" s="404">
        <f t="shared" si="18"/>
        <v>1.1026559139876442</v>
      </c>
    </row>
    <row r="22" spans="1:48">
      <c r="A22" s="60"/>
      <c r="B22" s="1510">
        <f t="shared" si="16"/>
        <v>0.83994000000000002</v>
      </c>
      <c r="C22" s="1511">
        <f t="shared" si="17"/>
        <v>3.5116999999999998</v>
      </c>
      <c r="D22" s="51"/>
      <c r="E22" s="1514">
        <f t="shared" ref="E22:E27" si="23">E21</f>
        <v>0.44225299999999995</v>
      </c>
      <c r="F22" s="1515">
        <f t="shared" ref="F22:F27" si="24">F21</f>
        <v>5.9988999999999999</v>
      </c>
      <c r="G22" s="59"/>
      <c r="H22" s="389"/>
      <c r="I22" s="1522">
        <f>I21</f>
        <v>0.57240100000000005</v>
      </c>
      <c r="J22" s="1523">
        <f t="shared" ref="J22:J23" si="25">J21</f>
        <v>0.33073000000000002</v>
      </c>
      <c r="K22" s="62"/>
      <c r="L22" s="364"/>
      <c r="M22" s="95" t="s">
        <v>74</v>
      </c>
      <c r="N22" s="96">
        <f>'Ret CF if Unit not available'!AH15/100</f>
        <v>0.169881</v>
      </c>
      <c r="O22" s="247">
        <f>'Ret CF if Unit not available'!F15</f>
        <v>4.5152000000000001</v>
      </c>
      <c r="P22" s="202" t="s">
        <v>67</v>
      </c>
      <c r="Q22" s="1830"/>
      <c r="R22" s="1819"/>
      <c r="S22" s="1816"/>
      <c r="T22" s="95" t="s">
        <v>346</v>
      </c>
      <c r="U22" s="283">
        <f>$B$16*$E$21*$I$21*N22</f>
        <v>3.6121372527441929E-2</v>
      </c>
      <c r="V22" s="373">
        <f t="shared" ref="V22:V23" si="26">100*U22*SQRT(IF($B$16&gt;0,($C$16/$B$16/100)^2,0)+IF($E$21&gt;0,($F$21/$E$21/100)^2,0)+IF($I$21&gt;0,($J$21/$I$21/100)^2,0)+IF(N22&gt;0,(O22/N22/100)^2,0))</f>
        <v>1.0885840219912153</v>
      </c>
      <c r="W22" s="1532">
        <f t="shared" ref="W22:W27" si="27">100*U22*SQRT(IF(B22&gt;0,(C22/B22/100)^2,0)+IF(E22&gt;0,(F22/E22/100)^2,0)+IF(I22&gt;0,(J22/I22/100)^2,0)+IF(N22&gt;0,(O22/N22/100)^2,0))</f>
        <v>1.0885840219912153</v>
      </c>
      <c r="X22" s="1532">
        <f t="shared" si="15"/>
        <v>1.8005179723734699</v>
      </c>
      <c r="Y22" s="1306">
        <v>31</v>
      </c>
      <c r="Z22" s="129">
        <f t="shared" si="1"/>
        <v>1032.394209933032</v>
      </c>
      <c r="AA22" s="337">
        <f t="shared" si="2"/>
        <v>123.18759918488838</v>
      </c>
      <c r="AB22" s="119">
        <f>'Part KIU-KU'!H$56</f>
        <v>0.94486729999999997</v>
      </c>
      <c r="AC22" s="295">
        <v>0</v>
      </c>
      <c r="AD22" s="125">
        <f t="shared" si="3"/>
        <v>975.47552967505715</v>
      </c>
      <c r="AE22" s="340">
        <f t="shared" si="5"/>
        <v>116.39593423530769</v>
      </c>
      <c r="AF22" s="132">
        <f>U9</f>
        <v>443</v>
      </c>
      <c r="AG22" s="344">
        <f>$V$9</f>
        <v>0</v>
      </c>
      <c r="AH22" s="522">
        <f>'Part KIU-KU'!H$56</f>
        <v>0.94486729999999997</v>
      </c>
      <c r="AI22" s="346">
        <v>0</v>
      </c>
      <c r="AJ22" s="125">
        <f t="shared" si="6"/>
        <v>418.57621389999997</v>
      </c>
      <c r="AK22" s="340">
        <f t="shared" si="7"/>
        <v>0</v>
      </c>
      <c r="AL22" s="147">
        <f t="shared" si="8"/>
        <v>556.89931577505718</v>
      </c>
      <c r="AM22" s="354">
        <f t="shared" si="9"/>
        <v>116.39593423530769</v>
      </c>
      <c r="AN22" s="148">
        <v>1</v>
      </c>
      <c r="AO22" s="147">
        <f t="shared" si="10"/>
        <v>556.89931577505718</v>
      </c>
      <c r="AP22" s="354">
        <f t="shared" si="11"/>
        <v>116.39593423530769</v>
      </c>
      <c r="AQ22" s="147">
        <f t="shared" si="12"/>
        <v>20.115967645388359</v>
      </c>
      <c r="AR22" s="354">
        <f t="shared" si="13"/>
        <v>11.014848034508786</v>
      </c>
      <c r="AS22" s="147">
        <f t="shared" si="4"/>
        <v>20.115967645388359</v>
      </c>
      <c r="AT22" s="354">
        <f t="shared" si="14"/>
        <v>7.3775677433927536</v>
      </c>
      <c r="AU22" s="299">
        <f t="shared" si="21"/>
        <v>1</v>
      </c>
      <c r="AV22" s="405">
        <f t="shared" si="18"/>
        <v>0.65904245028611519</v>
      </c>
    </row>
    <row r="23" spans="1:48" ht="15" thickBot="1">
      <c r="A23" s="60"/>
      <c r="B23" s="1510">
        <f t="shared" si="16"/>
        <v>0.83994000000000002</v>
      </c>
      <c r="C23" s="1511">
        <f t="shared" si="17"/>
        <v>3.5116999999999998</v>
      </c>
      <c r="D23" s="51"/>
      <c r="E23" s="1514">
        <f t="shared" si="23"/>
        <v>0.44225299999999995</v>
      </c>
      <c r="F23" s="1515">
        <f t="shared" si="24"/>
        <v>5.9988999999999999</v>
      </c>
      <c r="G23" s="59"/>
      <c r="H23" s="389"/>
      <c r="I23" s="1522">
        <f t="shared" ref="I23" si="28">I22</f>
        <v>0.57240100000000005</v>
      </c>
      <c r="J23" s="1523">
        <f t="shared" si="25"/>
        <v>0.33073000000000002</v>
      </c>
      <c r="K23" s="62"/>
      <c r="L23" s="365"/>
      <c r="M23" s="97" t="s">
        <v>75</v>
      </c>
      <c r="N23" s="98">
        <f>'Ret CF if Unit not available'!AH16/100</f>
        <v>0.58589199999999997</v>
      </c>
      <c r="O23" s="249">
        <f>'Ret CF if Unit not available'!F16</f>
        <v>4.1345000000000001</v>
      </c>
      <c r="P23" s="203" t="s">
        <v>67</v>
      </c>
      <c r="Q23" s="1830"/>
      <c r="R23" s="1819"/>
      <c r="S23" s="1817"/>
      <c r="T23" s="97" t="s">
        <v>347</v>
      </c>
      <c r="U23" s="285">
        <f>$B$16*$E$21*$I$21*N23</f>
        <v>0.12457675191956724</v>
      </c>
      <c r="V23" s="374">
        <f t="shared" si="26"/>
        <v>1.9760431631578428</v>
      </c>
      <c r="W23" s="1533">
        <f t="shared" si="27"/>
        <v>1.9760431631578428</v>
      </c>
      <c r="X23" s="1533">
        <f t="shared" si="15"/>
        <v>3.2683753918630716</v>
      </c>
      <c r="Y23" s="1307">
        <v>31</v>
      </c>
      <c r="Z23" s="130">
        <f t="shared" si="1"/>
        <v>1032.394209933032</v>
      </c>
      <c r="AA23" s="338">
        <f t="shared" si="2"/>
        <v>123.18759918488838</v>
      </c>
      <c r="AB23" s="122">
        <f>'Part KIU-KU'!H$56</f>
        <v>0.94486729999999997</v>
      </c>
      <c r="AC23" s="296">
        <v>0</v>
      </c>
      <c r="AD23" s="126">
        <f t="shared" si="3"/>
        <v>975.47552967505715</v>
      </c>
      <c r="AE23" s="341">
        <f t="shared" si="5"/>
        <v>116.39593423530769</v>
      </c>
      <c r="AF23" s="126">
        <v>0</v>
      </c>
      <c r="AG23" s="341">
        <v>0</v>
      </c>
      <c r="AH23" s="121">
        <f>'Part KIU-KU'!H$56</f>
        <v>0.94486729999999997</v>
      </c>
      <c r="AI23" s="347">
        <v>0</v>
      </c>
      <c r="AJ23" s="126">
        <f t="shared" si="6"/>
        <v>0</v>
      </c>
      <c r="AK23" s="341">
        <f t="shared" si="7"/>
        <v>0</v>
      </c>
      <c r="AL23" s="144">
        <f t="shared" si="8"/>
        <v>975.47552967505715</v>
      </c>
      <c r="AM23" s="355">
        <f t="shared" si="9"/>
        <v>116.39593423530769</v>
      </c>
      <c r="AN23" s="149">
        <v>1</v>
      </c>
      <c r="AO23" s="144">
        <f t="shared" si="10"/>
        <v>975.47552967505715</v>
      </c>
      <c r="AP23" s="355">
        <f t="shared" si="11"/>
        <v>116.39593423530769</v>
      </c>
      <c r="AQ23" s="144">
        <f t="shared" si="12"/>
        <v>121.52157306393805</v>
      </c>
      <c r="AR23" s="355">
        <f t="shared" si="13"/>
        <v>46.191423306523156</v>
      </c>
      <c r="AS23" s="144">
        <f t="shared" si="4"/>
        <v>121.52157306393805</v>
      </c>
      <c r="AT23" s="355">
        <f t="shared" si="14"/>
        <v>24.120815411394634</v>
      </c>
      <c r="AU23" s="300">
        <f t="shared" si="21"/>
        <v>1</v>
      </c>
      <c r="AV23" s="406">
        <f t="shared" si="18"/>
        <v>0.42881347882033555</v>
      </c>
    </row>
    <row r="24" spans="1:48" ht="15" thickBot="1">
      <c r="A24" s="60"/>
      <c r="B24" s="1510">
        <f t="shared" si="16"/>
        <v>0.83994000000000002</v>
      </c>
      <c r="C24" s="1511">
        <f t="shared" si="17"/>
        <v>3.5116999999999998</v>
      </c>
      <c r="D24" s="51"/>
      <c r="E24" s="1514">
        <f t="shared" si="23"/>
        <v>0.44225299999999995</v>
      </c>
      <c r="F24" s="1515">
        <f t="shared" si="24"/>
        <v>5.9988999999999999</v>
      </c>
      <c r="G24" s="59"/>
      <c r="H24" s="390" t="s">
        <v>55</v>
      </c>
      <c r="I24" s="66">
        <f>SecMktProportions!E7</f>
        <v>3.4584999999999998E-2</v>
      </c>
      <c r="J24" s="304">
        <f>SecMktProportions!F7</f>
        <v>1.6114E-2</v>
      </c>
      <c r="K24" s="63" t="s">
        <v>65</v>
      </c>
      <c r="L24" s="366">
        <v>0</v>
      </c>
      <c r="M24" s="260"/>
      <c r="N24" s="1524">
        <v>0</v>
      </c>
      <c r="O24" s="259"/>
      <c r="P24" s="260" t="s">
        <v>68</v>
      </c>
      <c r="Q24" s="1830"/>
      <c r="R24" s="1819"/>
      <c r="S24" s="1821" t="s">
        <v>349</v>
      </c>
      <c r="T24" s="1822"/>
      <c r="U24" s="293">
        <f>$B$16*$E$21*I24</f>
        <v>1.2847151084999699E-2</v>
      </c>
      <c r="V24" s="375">
        <f>100*U24*SQRT(IF($B$16&gt;0,($C$16/$B$16/100)^2,0)+IF($E$21&gt;0,($F$21/$E$21/100)^2,0)+IF($I$21&gt;0,($J$21/$I$21/100)^2,0))</f>
        <v>0.18250501861584872</v>
      </c>
      <c r="W24" s="1534">
        <f t="shared" si="27"/>
        <v>0.18245221451219248</v>
      </c>
      <c r="X24" s="1534">
        <f t="shared" si="15"/>
        <v>0.30177596280316638</v>
      </c>
      <c r="Y24" s="1308">
        <v>42</v>
      </c>
      <c r="Z24" s="128">
        <f t="shared" si="1"/>
        <v>1032.394209933032</v>
      </c>
      <c r="AA24" s="336">
        <f t="shared" si="2"/>
        <v>123.18759918488838</v>
      </c>
      <c r="AB24" s="120">
        <f>'Part KIU-KU'!H$56</f>
        <v>0.94486729999999997</v>
      </c>
      <c r="AC24" s="297">
        <v>0</v>
      </c>
      <c r="AD24" s="124">
        <f t="shared" si="3"/>
        <v>975.47552967505715</v>
      </c>
      <c r="AE24" s="339">
        <f t="shared" si="5"/>
        <v>116.39593423530769</v>
      </c>
      <c r="AF24" s="124">
        <f>$U$8</f>
        <v>744</v>
      </c>
      <c r="AG24" s="339">
        <f>$V$8</f>
        <v>144</v>
      </c>
      <c r="AH24" s="521">
        <f>'Part KIU-KU'!H$56</f>
        <v>0.94486729999999997</v>
      </c>
      <c r="AI24" s="345">
        <v>0</v>
      </c>
      <c r="AJ24" s="124">
        <f t="shared" si="6"/>
        <v>702.98127119999992</v>
      </c>
      <c r="AK24" s="339">
        <f t="shared" si="7"/>
        <v>136.06089119999999</v>
      </c>
      <c r="AL24" s="140">
        <f t="shared" si="8"/>
        <v>272.49425847505722</v>
      </c>
      <c r="AM24" s="351">
        <f t="shared" si="9"/>
        <v>179.05468332509011</v>
      </c>
      <c r="AN24" s="141">
        <v>1</v>
      </c>
      <c r="AO24" s="140">
        <f t="shared" si="10"/>
        <v>272.49425847505722</v>
      </c>
      <c r="AP24" s="351">
        <f t="shared" si="11"/>
        <v>179.05468332509011</v>
      </c>
      <c r="AQ24" s="140">
        <f t="shared" si="12"/>
        <v>3.5007749084240198</v>
      </c>
      <c r="AR24" s="351">
        <f t="shared" si="13"/>
        <v>2.8810248956774873</v>
      </c>
      <c r="AS24" s="140">
        <f t="shared" si="4"/>
        <v>3.5007749084240198</v>
      </c>
      <c r="AT24" s="351">
        <f t="shared" si="14"/>
        <v>2.3534865281326258</v>
      </c>
      <c r="AU24" s="298">
        <f t="shared" si="21"/>
        <v>1</v>
      </c>
      <c r="AV24" s="404">
        <f t="shared" si="18"/>
        <v>1.06265271675905</v>
      </c>
    </row>
    <row r="25" spans="1:48" ht="15" thickBot="1">
      <c r="A25" s="60"/>
      <c r="B25" s="1510">
        <f t="shared" si="16"/>
        <v>0.83994000000000002</v>
      </c>
      <c r="C25" s="1511">
        <f t="shared" si="17"/>
        <v>3.5116999999999998</v>
      </c>
      <c r="D25" s="51"/>
      <c r="E25" s="1514">
        <f t="shared" si="23"/>
        <v>0.44225299999999995</v>
      </c>
      <c r="F25" s="1515">
        <f t="shared" si="24"/>
        <v>5.9988999999999999</v>
      </c>
      <c r="G25" s="59"/>
      <c r="H25" s="390" t="s">
        <v>56</v>
      </c>
      <c r="I25" s="66">
        <f>SecMktProportions!E8</f>
        <v>1.7631000000000001E-2</v>
      </c>
      <c r="J25" s="304">
        <f>SecMktProportions!F8</f>
        <v>8.9619999999999995E-3</v>
      </c>
      <c r="K25" s="63" t="s">
        <v>65</v>
      </c>
      <c r="L25" s="366">
        <v>0</v>
      </c>
      <c r="M25" s="260"/>
      <c r="N25" s="1524">
        <v>0</v>
      </c>
      <c r="O25" s="259"/>
      <c r="P25" s="260" t="s">
        <v>68</v>
      </c>
      <c r="Q25" s="1830"/>
      <c r="R25" s="1819"/>
      <c r="S25" s="1821" t="s">
        <v>350</v>
      </c>
      <c r="T25" s="1822"/>
      <c r="U25" s="293">
        <f>$B$16*$E$21*I25</f>
        <v>6.5493167783614199E-3</v>
      </c>
      <c r="V25" s="375">
        <f t="shared" ref="V25:V27" si="29">100*U25*SQRT(IF($B$16&gt;0,($C$16/$B$16/100)^2,0)+IF($E$21&gt;0,($F$21/$E$21/100)^2,0)+IF($I$21&gt;0,($J$21/$I$21/100)^2,0))</f>
        <v>9.3038773549690007E-2</v>
      </c>
      <c r="W25" s="1534">
        <f t="shared" si="27"/>
        <v>9.3021375484356281E-2</v>
      </c>
      <c r="X25" s="1534">
        <f t="shared" si="15"/>
        <v>0.15385735505112527</v>
      </c>
      <c r="Y25" s="1309">
        <v>42</v>
      </c>
      <c r="Z25" s="129">
        <f t="shared" si="1"/>
        <v>1032.394209933032</v>
      </c>
      <c r="AA25" s="337">
        <f t="shared" si="2"/>
        <v>123.18759918488838</v>
      </c>
      <c r="AB25" s="119">
        <f>'Part KIU-KU'!H$56</f>
        <v>0.94486729999999997</v>
      </c>
      <c r="AC25" s="295">
        <v>0</v>
      </c>
      <c r="AD25" s="125">
        <f t="shared" si="3"/>
        <v>975.47552967505715</v>
      </c>
      <c r="AE25" s="340">
        <f t="shared" si="5"/>
        <v>116.39593423530769</v>
      </c>
      <c r="AF25" s="125">
        <f>$U$8</f>
        <v>744</v>
      </c>
      <c r="AG25" s="340">
        <f>$V$8</f>
        <v>144</v>
      </c>
      <c r="AH25" s="522">
        <f>'Part KIU-KU'!H$56</f>
        <v>0.94486729999999997</v>
      </c>
      <c r="AI25" s="346">
        <v>0</v>
      </c>
      <c r="AJ25" s="125">
        <f t="shared" si="6"/>
        <v>702.98127119999992</v>
      </c>
      <c r="AK25" s="340">
        <f t="shared" si="7"/>
        <v>136.06089119999999</v>
      </c>
      <c r="AL25" s="147">
        <f t="shared" si="8"/>
        <v>272.49425847505722</v>
      </c>
      <c r="AM25" s="354">
        <f t="shared" si="9"/>
        <v>179.05468332509011</v>
      </c>
      <c r="AN25" s="148">
        <v>1</v>
      </c>
      <c r="AO25" s="147">
        <f t="shared" si="10"/>
        <v>272.49425847505722</v>
      </c>
      <c r="AP25" s="354">
        <f t="shared" si="11"/>
        <v>179.05468332509011</v>
      </c>
      <c r="AQ25" s="147">
        <f t="shared" si="12"/>
        <v>1.7846512190378458</v>
      </c>
      <c r="AR25" s="354">
        <f t="shared" si="13"/>
        <v>1.4687104217345606</v>
      </c>
      <c r="AS25" s="147">
        <f t="shared" si="4"/>
        <v>1.7846512190378458</v>
      </c>
      <c r="AT25" s="354">
        <f t="shared" si="14"/>
        <v>1.1997779666764878</v>
      </c>
      <c r="AU25" s="299">
        <f t="shared" si="21"/>
        <v>1</v>
      </c>
      <c r="AV25" s="405">
        <f t="shared" si="18"/>
        <v>1.06265271675905</v>
      </c>
    </row>
    <row r="26" spans="1:48" ht="15" thickBot="1">
      <c r="A26" s="60"/>
      <c r="B26" s="1510">
        <f t="shared" si="16"/>
        <v>0.83994000000000002</v>
      </c>
      <c r="C26" s="1511">
        <f t="shared" si="17"/>
        <v>3.5116999999999998</v>
      </c>
      <c r="D26" s="51"/>
      <c r="E26" s="1514">
        <f t="shared" si="23"/>
        <v>0.44225299999999995</v>
      </c>
      <c r="F26" s="1515">
        <f t="shared" si="24"/>
        <v>5.9988999999999999</v>
      </c>
      <c r="G26" s="59"/>
      <c r="H26" s="390" t="s">
        <v>57</v>
      </c>
      <c r="I26" s="66">
        <f>SecMktProportions!E9</f>
        <v>2.0871000000000001E-2</v>
      </c>
      <c r="J26" s="304">
        <f>SecMktProportions!F9</f>
        <v>6.0520000000000001E-3</v>
      </c>
      <c r="K26" s="63" t="s">
        <v>65</v>
      </c>
      <c r="L26" s="366">
        <v>0</v>
      </c>
      <c r="M26" s="260"/>
      <c r="N26" s="1524">
        <v>0</v>
      </c>
      <c r="O26" s="259"/>
      <c r="P26" s="260" t="s">
        <v>68</v>
      </c>
      <c r="Q26" s="1830"/>
      <c r="R26" s="1819"/>
      <c r="S26" s="1821" t="s">
        <v>57</v>
      </c>
      <c r="T26" s="1822"/>
      <c r="U26" s="293">
        <f>$B$16*$E$21*I26</f>
        <v>7.7528665691782199E-3</v>
      </c>
      <c r="V26" s="375">
        <f t="shared" si="29"/>
        <v>0.11013625107796382</v>
      </c>
      <c r="W26" s="1534">
        <f t="shared" si="27"/>
        <v>0.1100680759223384</v>
      </c>
      <c r="X26" s="1534">
        <f t="shared" si="15"/>
        <v>0.1820525975755477</v>
      </c>
      <c r="Y26" s="1309">
        <v>42</v>
      </c>
      <c r="Z26" s="129">
        <f t="shared" si="1"/>
        <v>1032.394209933032</v>
      </c>
      <c r="AA26" s="337">
        <f t="shared" si="2"/>
        <v>123.18759918488838</v>
      </c>
      <c r="AB26" s="119">
        <f>'Part KIU-KU'!H$56</f>
        <v>0.94486729999999997</v>
      </c>
      <c r="AC26" s="295">
        <v>0</v>
      </c>
      <c r="AD26" s="125">
        <f t="shared" si="3"/>
        <v>975.47552967505715</v>
      </c>
      <c r="AE26" s="340">
        <f t="shared" si="5"/>
        <v>116.39593423530769</v>
      </c>
      <c r="AF26" s="125">
        <f>$U$8</f>
        <v>744</v>
      </c>
      <c r="AG26" s="340">
        <f>$V$8</f>
        <v>144</v>
      </c>
      <c r="AH26" s="522">
        <f>'Part KIU-KU'!H$56</f>
        <v>0.94486729999999997</v>
      </c>
      <c r="AI26" s="346">
        <v>0</v>
      </c>
      <c r="AJ26" s="125">
        <f t="shared" si="6"/>
        <v>702.98127119999992</v>
      </c>
      <c r="AK26" s="125">
        <f t="shared" si="6"/>
        <v>0</v>
      </c>
      <c r="AL26" s="147">
        <f t="shared" si="8"/>
        <v>272.49425847505722</v>
      </c>
      <c r="AM26" s="354">
        <f t="shared" si="9"/>
        <v>116.39593423530769</v>
      </c>
      <c r="AN26" s="148">
        <v>1</v>
      </c>
      <c r="AO26" s="147">
        <f t="shared" si="10"/>
        <v>272.49425847505722</v>
      </c>
      <c r="AP26" s="354">
        <f t="shared" si="11"/>
        <v>116.39593423530769</v>
      </c>
      <c r="AQ26" s="147">
        <f t="shared" si="12"/>
        <v>2.1126116268242798</v>
      </c>
      <c r="AR26" s="354">
        <f t="shared" si="13"/>
        <v>1.4129735518155191</v>
      </c>
      <c r="AS26" s="147">
        <f t="shared" si="4"/>
        <v>2.1126116268242798</v>
      </c>
      <c r="AT26" s="354">
        <f t="shared" si="14"/>
        <v>0.9509987513756879</v>
      </c>
      <c r="AU26" s="299">
        <f t="shared" si="21"/>
        <v>1</v>
      </c>
      <c r="AV26" s="405">
        <f t="shared" si="18"/>
        <v>0.80620628720359422</v>
      </c>
    </row>
    <row r="27" spans="1:48" ht="15" thickBot="1">
      <c r="A27" s="220"/>
      <c r="B27" s="1512">
        <f t="shared" si="16"/>
        <v>0.83994000000000002</v>
      </c>
      <c r="C27" s="1513">
        <f t="shared" si="17"/>
        <v>3.5116999999999998</v>
      </c>
      <c r="D27" s="53"/>
      <c r="E27" s="1516">
        <f t="shared" si="23"/>
        <v>0.44225299999999995</v>
      </c>
      <c r="F27" s="1517">
        <f t="shared" si="24"/>
        <v>5.9988999999999999</v>
      </c>
      <c r="G27" s="58"/>
      <c r="H27" s="390" t="s">
        <v>58</v>
      </c>
      <c r="I27" s="66">
        <f>SecMktProportions!E10</f>
        <v>0.35451300000000002</v>
      </c>
      <c r="J27" s="304">
        <f>SecMktProportions!F10</f>
        <v>0.10274</v>
      </c>
      <c r="K27" s="63" t="s">
        <v>65</v>
      </c>
      <c r="L27" s="259"/>
      <c r="M27" s="260"/>
      <c r="N27" s="1524">
        <v>0</v>
      </c>
      <c r="O27" s="262"/>
      <c r="P27" s="260"/>
      <c r="Q27" s="1831"/>
      <c r="R27" s="1820"/>
      <c r="S27" s="1821" t="s">
        <v>266</v>
      </c>
      <c r="T27" s="1822"/>
      <c r="U27" s="293">
        <f>$B$16*$E$21*I27</f>
        <v>0.13168952067649267</v>
      </c>
      <c r="V27" s="376">
        <f t="shared" si="29"/>
        <v>1.8707648305496714</v>
      </c>
      <c r="W27" s="1534">
        <f t="shared" si="27"/>
        <v>1.8696063676536854</v>
      </c>
      <c r="X27" s="1534">
        <f t="shared" si="15"/>
        <v>3.0923289320991953</v>
      </c>
      <c r="Y27" s="1310">
        <v>42</v>
      </c>
      <c r="Z27" s="130">
        <f t="shared" si="1"/>
        <v>1032.394209933032</v>
      </c>
      <c r="AA27" s="338">
        <f t="shared" si="2"/>
        <v>123.18759918488838</v>
      </c>
      <c r="AB27" s="122">
        <f>SUMPRODUCT(AB17:AB26,U17:U26)/SUM(U17:U26)</f>
        <v>0.94486729999999985</v>
      </c>
      <c r="AC27" s="296">
        <v>0</v>
      </c>
      <c r="AD27" s="126">
        <f>SUMPRODUCT(AD17:AD26,U17:U26)/SUM(U17:U26)</f>
        <v>975.47552967505703</v>
      </c>
      <c r="AE27" s="341">
        <f t="shared" si="5"/>
        <v>116.39593423530768</v>
      </c>
      <c r="AF27" s="126">
        <f>SUMPRODUCT(AF17:AF26,U17:U26)/SUM(U17:U26)</f>
        <v>235.26613102352528</v>
      </c>
      <c r="AG27" s="341">
        <v>0</v>
      </c>
      <c r="AH27" s="121">
        <f>SUMPRODUCT(AH17:AH26,U17:U26)/SUM(U17:U26)</f>
        <v>0.94486729999999985</v>
      </c>
      <c r="AI27" s="347">
        <v>0</v>
      </c>
      <c r="AJ27" s="126">
        <f>SUMPRODUCT(AJ17:AJ26,U17:U26)/SUM(U17:U26)</f>
        <v>222.29527400164454</v>
      </c>
      <c r="AK27" s="350">
        <f t="shared" si="7"/>
        <v>0</v>
      </c>
      <c r="AL27" s="144">
        <f t="shared" si="8"/>
        <v>753.18025567341249</v>
      </c>
      <c r="AM27" s="355">
        <f t="shared" si="9"/>
        <v>116.39593423530768</v>
      </c>
      <c r="AN27" s="149">
        <v>0</v>
      </c>
      <c r="AO27" s="144">
        <f t="shared" si="10"/>
        <v>0</v>
      </c>
      <c r="AP27" s="355">
        <v>0</v>
      </c>
      <c r="AQ27" s="144">
        <f t="shared" si="12"/>
        <v>99.185946852629897</v>
      </c>
      <c r="AR27" s="355">
        <f t="shared" si="13"/>
        <v>41.459247335503527</v>
      </c>
      <c r="AS27" s="144">
        <f t="shared" si="4"/>
        <v>0</v>
      </c>
      <c r="AT27" s="355">
        <f t="shared" si="14"/>
        <v>0</v>
      </c>
      <c r="AU27" s="300">
        <f t="shared" si="21"/>
        <v>0</v>
      </c>
      <c r="AV27" s="406">
        <f t="shared" si="18"/>
        <v>0</v>
      </c>
    </row>
    <row r="28" spans="1:48" ht="15" thickBo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420">
        <f>SUM(U14:U27)</f>
        <v>1.0000003714659849</v>
      </c>
      <c r="V28" s="1"/>
      <c r="W28" s="1"/>
      <c r="X28" s="1"/>
      <c r="Y28" s="1"/>
      <c r="Z28" s="570">
        <f>SUMPRODUCT($U14:$U27,Z14:Z27)/SUM(U13:U27)</f>
        <v>1032.394209933032</v>
      </c>
      <c r="AA28" s="1"/>
      <c r="AB28" s="571">
        <f>SUMPRODUCT($U14:$U27,AB14:AB27)/SUM(U13:U27)</f>
        <v>0.92757806863081693</v>
      </c>
      <c r="AC28" s="1"/>
      <c r="AD28" s="570">
        <f>SUMPRODUCT($U14:$U27,AD14:AD27)/SUM(U13:U27)</f>
        <v>957.62622731532008</v>
      </c>
      <c r="AE28" s="1"/>
      <c r="AF28" s="570">
        <f>SUMPRODUCT($U14:$U27,AF14:AF27)/SUM(U13:U27)</f>
        <v>362.85440393907749</v>
      </c>
      <c r="AG28" s="1"/>
      <c r="AH28" s="571">
        <f>SUMPRODUCT($U14:$U27,AH14:AH27)/SUM(U13:U27)</f>
        <v>0.79363189614080798</v>
      </c>
      <c r="AI28" s="307"/>
      <c r="AJ28" s="570">
        <f>SUMPRODUCT($U14:$U27,AJ14:AJ27)/SUM(U13:U27)</f>
        <v>186.71470566191221</v>
      </c>
      <c r="AK28" s="1"/>
      <c r="AL28" s="570">
        <f>SUMPRODUCT($U14:$U27,AL14:AL27)/SUM(U13:U27)</f>
        <v>770.91152165340793</v>
      </c>
      <c r="AN28" s="571">
        <f>SUMPRODUCT($U14:$U27,AN14:AN27)/SUM(U13:U27)</f>
        <v>0.74213562825135004</v>
      </c>
      <c r="AO28" s="570">
        <f>SUMPRODUCT($U14:$U27,AO14:AO27)/SUM(U13:U27)</f>
        <v>576.69316821069617</v>
      </c>
      <c r="AQ28" s="400">
        <f>SUM(AQ14:AQ27)</f>
        <v>770.91180802081556</v>
      </c>
      <c r="AR28" s="391">
        <f>SQRT(AR14^2+AR15^2+AR16^2+AR17^2+AR18^2+AR19^2+AR20^2+AR21^2+AR22^2+AR23^2+AR24^2+AR25^2+AR26^2+AR27^2)</f>
        <v>136.48215342773949</v>
      </c>
      <c r="AS28" s="308">
        <f>SUM(AS14:AS27)</f>
        <v>576.69338243259187</v>
      </c>
      <c r="AT28" s="391">
        <f>SQRT(AT14^2+AT15^2+AT16^2+AT17^2+AT18^2+AT19^2+AT20^2+AT21^2+AT22^2+AT23^2+AT24^2+AT25^2+AT26^2+AT27^2)</f>
        <v>72.109989455451924</v>
      </c>
      <c r="AU28" s="309">
        <f>AS28/AQ28</f>
        <v>0.74806660947787751</v>
      </c>
      <c r="AV28" s="402">
        <f>AU28*SQRT(IF(AQ28&gt;0,(AR28/AQ28)^2,0)+IF(AS28&gt;0,(AT28/AS28)^2,0))</f>
        <v>0.16213942557577002</v>
      </c>
    </row>
    <row r="29" spans="1:48" s="916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420"/>
      <c r="V29" s="1"/>
      <c r="W29" s="1"/>
      <c r="X29" s="1"/>
      <c r="Y29" s="1"/>
      <c r="Z29" s="1281"/>
      <c r="AA29" s="1"/>
      <c r="AB29" s="1282"/>
      <c r="AC29" s="1"/>
      <c r="AD29" s="1281"/>
      <c r="AE29" s="1"/>
      <c r="AF29" s="1281"/>
      <c r="AG29" s="1"/>
      <c r="AH29" s="1282"/>
      <c r="AI29" s="1271"/>
      <c r="AJ29" s="1271"/>
      <c r="AK29" s="1271"/>
      <c r="AL29" s="1295" t="s">
        <v>940</v>
      </c>
      <c r="AM29" s="1272">
        <f>SQRT(SUMPRODUCT(AM14:AM27,AM14:AM27,$U14:$U27,$U14:$U27))</f>
        <v>44.254259981143576</v>
      </c>
      <c r="AN29" s="1271"/>
      <c r="AO29" s="1271"/>
      <c r="AP29" s="1272">
        <f>SQRT(SUMPRODUCT(AP14:AP27,AP14:AP27,U14:U27,U14:U27))</f>
        <v>38.830422270905977</v>
      </c>
      <c r="AU29" s="1283"/>
      <c r="AV29" s="1287"/>
    </row>
    <row r="30" spans="1:48" s="916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420"/>
      <c r="V30" s="1"/>
      <c r="W30" s="1"/>
      <c r="X30" s="1"/>
      <c r="Y30" s="1"/>
      <c r="Z30" s="1281"/>
      <c r="AA30" s="1"/>
      <c r="AB30" s="1282"/>
      <c r="AC30" s="1"/>
      <c r="AD30" s="1281"/>
      <c r="AE30" s="1"/>
      <c r="AF30" s="1281"/>
      <c r="AG30" s="1"/>
      <c r="AH30" s="1282"/>
      <c r="AI30" s="1271"/>
      <c r="AJ30" s="1271"/>
      <c r="AK30" s="1271"/>
      <c r="AL30" s="1295" t="s">
        <v>941</v>
      </c>
      <c r="AM30" s="1272">
        <f>SQRT(SUMPRODUCT(V14:V27,V14:V27,AL14:AL27,AL14:AL27))/100</f>
        <v>67.70499039303246</v>
      </c>
      <c r="AN30" s="1271"/>
      <c r="AO30" s="1271"/>
      <c r="AP30" s="1272">
        <f>SQRT(SUMPRODUCT($V14:$V27,$V14:$V27,AO14:AO27,AO14:AO27))/100</f>
        <v>60.762232394214379</v>
      </c>
      <c r="AU30" s="1283"/>
      <c r="AV30" s="1287"/>
    </row>
    <row r="31" spans="1:48" s="916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420"/>
      <c r="V31" s="1"/>
      <c r="W31" s="1"/>
      <c r="X31" s="1"/>
      <c r="Y31" s="1"/>
      <c r="Z31" s="1281"/>
      <c r="AA31" s="1"/>
      <c r="AB31" s="1282"/>
      <c r="AC31" s="1"/>
      <c r="AD31" s="1281"/>
      <c r="AE31" s="1"/>
      <c r="AF31" s="1281"/>
      <c r="AG31" s="1"/>
      <c r="AH31" s="1282"/>
      <c r="AI31" s="1271"/>
      <c r="AJ31" s="1271"/>
      <c r="AK31" s="1271"/>
      <c r="AL31" s="1296" t="s">
        <v>942</v>
      </c>
      <c r="AM31" s="1272">
        <f>SQRT(AM29^2+AM30^2)</f>
        <v>80.885136153679454</v>
      </c>
      <c r="AN31" s="1271"/>
      <c r="AO31" s="1271"/>
      <c r="AP31" s="1272">
        <f>SQRT(AP29^2+AP30^2)</f>
        <v>72.10998945545191</v>
      </c>
      <c r="AU31" s="1283"/>
      <c r="AV31" s="1287"/>
    </row>
    <row r="33" spans="1:48">
      <c r="AP33" s="450" t="s">
        <v>278</v>
      </c>
      <c r="AQ33" s="451">
        <f>AM31*AQ37</f>
        <v>138.89145651727063</v>
      </c>
      <c r="AR33" s="450" t="s">
        <v>278</v>
      </c>
      <c r="AS33" s="451">
        <f>AP31*AS37</f>
        <v>123.82326273004784</v>
      </c>
      <c r="AT33" s="450" t="s">
        <v>278</v>
      </c>
      <c r="AU33" s="421">
        <f>AV28*AU37</f>
        <v>0.28423857767739297</v>
      </c>
    </row>
    <row r="34" spans="1:48">
      <c r="AP34" s="11" t="s">
        <v>280</v>
      </c>
      <c r="AQ34" s="452">
        <f>AQ28-AQ33</f>
        <v>632.02035150354493</v>
      </c>
      <c r="AR34" s="11" t="s">
        <v>280</v>
      </c>
      <c r="AS34" s="452">
        <f>AS28-AS33</f>
        <v>452.870119702544</v>
      </c>
      <c r="AT34" s="916" t="s">
        <v>280</v>
      </c>
      <c r="AU34" s="418">
        <f>AU28-AU33</f>
        <v>0.46382803180048454</v>
      </c>
    </row>
    <row r="35" spans="1:48" s="1" customFormat="1" ht="18.600000000000001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23">
        <v>657.08220240403261</v>
      </c>
      <c r="P35" s="11"/>
      <c r="Q35" s="11"/>
      <c r="R35" s="11"/>
      <c r="S35" s="11"/>
      <c r="T35" s="11"/>
      <c r="U35" s="11"/>
      <c r="V35" s="11"/>
      <c r="W35" s="916"/>
      <c r="X35" s="916"/>
      <c r="Y35" s="916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 t="s">
        <v>279</v>
      </c>
      <c r="AQ35" s="452">
        <f>AQ28+AQ33</f>
        <v>909.80326453808618</v>
      </c>
      <c r="AR35" s="11" t="s">
        <v>279</v>
      </c>
      <c r="AS35" s="452">
        <f>AS28+AS33</f>
        <v>700.51664516263975</v>
      </c>
      <c r="AT35" s="916" t="s">
        <v>279</v>
      </c>
      <c r="AU35" s="418">
        <f>AU28+AU33</f>
        <v>1.0323051871552704</v>
      </c>
      <c r="AV35" s="11"/>
    </row>
    <row r="36" spans="1:48">
      <c r="T36" s="11" t="s">
        <v>497</v>
      </c>
      <c r="U36" s="419">
        <f>U27+U16</f>
        <v>0.25786446753649267</v>
      </c>
      <c r="AP36" s="432" t="s">
        <v>286</v>
      </c>
      <c r="AQ36" s="421">
        <f>AQ33/AQ28</f>
        <v>0.18016516944246933</v>
      </c>
      <c r="AS36" s="421">
        <f>AS33/AS28</f>
        <v>0.21471247373732646</v>
      </c>
      <c r="AU36" s="421">
        <f>AU33/AU28</f>
        <v>0.37996426264204047</v>
      </c>
    </row>
    <row r="37" spans="1:48">
      <c r="AQ37" s="11">
        <f>TINV(0.1,AQ39)</f>
        <v>1.7171443743802424</v>
      </c>
      <c r="AS37" s="11">
        <f>TINV(0.1,AQ39)</f>
        <v>1.7171443743802424</v>
      </c>
      <c r="AU37" s="11">
        <f>TINV(0.1,AU39)</f>
        <v>1.7530503556925723</v>
      </c>
    </row>
    <row r="38" spans="1:48">
      <c r="C38" s="42"/>
      <c r="D38" s="42"/>
    </row>
    <row r="39" spans="1:48">
      <c r="AP39" s="138" t="s">
        <v>281</v>
      </c>
      <c r="AQ39" s="11">
        <v>22</v>
      </c>
      <c r="AU39" s="11">
        <v>15</v>
      </c>
    </row>
  </sheetData>
  <customSheetViews>
    <customSheetView guid="{7E8F70E7-08A0-442B-A100-F92E13F1F337}" scale="85" hiddenRows="1" hiddenColumns="1" topLeftCell="N11">
      <selection activeCell="AI26" sqref="AI26"/>
      <pageMargins left="0.7" right="0.7" top="0.75" bottom="0.75" header="0.3" footer="0.3"/>
      <pageSetup orientation="portrait" r:id="rId1"/>
    </customSheetView>
    <customSheetView guid="{52F27401-6741-4136-9223-9843499AE81D}" scale="85" hiddenRows="1" hiddenColumns="1" topLeftCell="N11">
      <selection activeCell="AI26" sqref="AI26"/>
      <pageMargins left="0.7" right="0.7" top="0.75" bottom="0.75" header="0.3" footer="0.3"/>
      <pageSetup orientation="portrait" r:id="rId2"/>
    </customSheetView>
  </customSheetViews>
  <mergeCells count="12">
    <mergeCell ref="Q12:T12"/>
    <mergeCell ref="R17:S20"/>
    <mergeCell ref="S21:S23"/>
    <mergeCell ref="R21:R27"/>
    <mergeCell ref="S24:T24"/>
    <mergeCell ref="S25:T25"/>
    <mergeCell ref="S26:T26"/>
    <mergeCell ref="S27:T27"/>
    <mergeCell ref="Q14:T14"/>
    <mergeCell ref="Q15:T15"/>
    <mergeCell ref="Q16:T16"/>
    <mergeCell ref="Q17:Q27"/>
  </mergeCells>
  <pageMargins left="0.7" right="0.7" top="0.75" bottom="0.75" header="0.3" footer="0.3"/>
  <pageSetup orientation="portrait"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6"/>
  <sheetViews>
    <sheetView topLeftCell="C7" workbookViewId="0">
      <selection activeCell="I10" sqref="I10"/>
    </sheetView>
  </sheetViews>
  <sheetFormatPr defaultRowHeight="14.4"/>
  <cols>
    <col min="1" max="1" width="26.44140625" bestFit="1" customWidth="1"/>
    <col min="2" max="2" width="28.5546875" bestFit="1" customWidth="1"/>
    <col min="3" max="3" width="14.88671875" style="449" customWidth="1"/>
    <col min="4" max="4" width="10.88671875" bestFit="1" customWidth="1"/>
    <col min="5" max="5" width="10.88671875" style="11" customWidth="1"/>
    <col min="6" max="6" width="10.88671875" style="916" customWidth="1"/>
    <col min="10" max="10" width="9.109375" style="916"/>
    <col min="15" max="15" width="27.88671875" customWidth="1"/>
    <col min="17" max="17" width="19" customWidth="1"/>
    <col min="18" max="18" width="11.33203125" bestFit="1" customWidth="1"/>
    <col min="19" max="19" width="16.44140625" customWidth="1"/>
    <col min="20" max="20" width="11.109375" customWidth="1"/>
  </cols>
  <sheetData>
    <row r="1" spans="1:20" ht="15" thickBot="1"/>
    <row r="2" spans="1:20" ht="39" customHeight="1">
      <c r="A2" s="444" t="s">
        <v>269</v>
      </c>
      <c r="B2" s="1832" t="s">
        <v>273</v>
      </c>
      <c r="C2" s="1832" t="s">
        <v>853</v>
      </c>
      <c r="D2" s="1835" t="s">
        <v>594</v>
      </c>
      <c r="E2" s="1835" t="s">
        <v>292</v>
      </c>
      <c r="F2" s="1835" t="s">
        <v>842</v>
      </c>
    </row>
    <row r="3" spans="1:20" ht="36" customHeight="1">
      <c r="A3" s="445" t="s">
        <v>270</v>
      </c>
      <c r="B3" s="1833"/>
      <c r="C3" s="1833"/>
      <c r="D3" s="1836"/>
      <c r="E3" s="1836"/>
      <c r="F3" s="1836"/>
      <c r="O3" s="1841" t="s">
        <v>323</v>
      </c>
      <c r="P3" s="1841" t="s">
        <v>316</v>
      </c>
      <c r="Q3" s="1841"/>
      <c r="R3" s="1842" t="s">
        <v>594</v>
      </c>
      <c r="S3" s="1841" t="s">
        <v>317</v>
      </c>
      <c r="T3" s="1841"/>
    </row>
    <row r="4" spans="1:20" ht="30.75" customHeight="1">
      <c r="A4" s="445" t="s">
        <v>271</v>
      </c>
      <c r="B4" s="1833"/>
      <c r="C4" s="1833"/>
      <c r="D4" s="1836"/>
      <c r="E4" s="1836"/>
      <c r="F4" s="1836"/>
      <c r="I4" s="483"/>
      <c r="J4" s="483"/>
      <c r="O4" s="1841"/>
      <c r="P4" s="1172" t="s">
        <v>318</v>
      </c>
      <c r="Q4" s="1172" t="s">
        <v>853</v>
      </c>
      <c r="R4" s="1843"/>
      <c r="S4" s="1172" t="s">
        <v>319</v>
      </c>
      <c r="T4" s="1172" t="s">
        <v>854</v>
      </c>
    </row>
    <row r="5" spans="1:20" ht="15" thickBot="1">
      <c r="A5" s="446" t="s">
        <v>272</v>
      </c>
      <c r="B5" s="1834"/>
      <c r="C5" s="1834"/>
      <c r="D5" s="1837"/>
      <c r="E5" s="1837"/>
      <c r="F5" s="1836"/>
      <c r="G5" s="449" t="s">
        <v>293</v>
      </c>
      <c r="H5" s="799" t="s">
        <v>319</v>
      </c>
      <c r="I5" s="799" t="s">
        <v>293</v>
      </c>
      <c r="M5" s="799"/>
      <c r="O5" s="1162" t="s">
        <v>54</v>
      </c>
      <c r="P5" s="1167">
        <f t="shared" ref="P5:Q10" si="0">B6</f>
        <v>56139</v>
      </c>
      <c r="Q5" s="1169" t="str">
        <f t="shared" si="0"/>
        <v xml:space="preserve">            28,135 </v>
      </c>
      <c r="R5" s="1164">
        <f>D6</f>
        <v>42</v>
      </c>
      <c r="S5" s="1165">
        <f>E6</f>
        <v>0.57240100000000005</v>
      </c>
      <c r="T5" s="1165">
        <f>F6</f>
        <v>0.33073000000000002</v>
      </c>
    </row>
    <row r="6" spans="1:20" ht="15" thickBot="1">
      <c r="A6" s="926" t="s">
        <v>54</v>
      </c>
      <c r="B6" s="927">
        <v>56139</v>
      </c>
      <c r="C6" s="928" t="s">
        <v>847</v>
      </c>
      <c r="D6" s="928">
        <v>42</v>
      </c>
      <c r="E6" s="929">
        <v>0.57240100000000005</v>
      </c>
      <c r="F6" s="930">
        <v>0.33073000000000002</v>
      </c>
      <c r="G6" s="1174">
        <f t="shared" ref="G6:G11" si="1">F6</f>
        <v>0.33073000000000002</v>
      </c>
      <c r="H6" s="1839">
        <f>SUM(E6:E9)</f>
        <v>0.64548799999999995</v>
      </c>
      <c r="I6" s="1838">
        <v>0.33129900000000001</v>
      </c>
      <c r="O6" s="1162" t="s">
        <v>274</v>
      </c>
      <c r="P6" s="1167">
        <f t="shared" si="0"/>
        <v>3392</v>
      </c>
      <c r="Q6" s="1170" t="str">
        <f t="shared" si="0"/>
        <v xml:space="preserve">              1,244 </v>
      </c>
      <c r="R6" s="1164">
        <f>D7</f>
        <v>42</v>
      </c>
      <c r="S6" s="1165">
        <f>E7</f>
        <v>3.4584999999999998E-2</v>
      </c>
      <c r="T6" s="1165">
        <f t="shared" ref="T6:T10" si="2">F7</f>
        <v>1.6114E-2</v>
      </c>
    </row>
    <row r="7" spans="1:20" ht="25.8" thickBot="1">
      <c r="A7" s="926" t="s">
        <v>274</v>
      </c>
      <c r="B7" s="927">
        <v>3392</v>
      </c>
      <c r="C7" s="928" t="s">
        <v>848</v>
      </c>
      <c r="D7" s="928">
        <v>42</v>
      </c>
      <c r="E7" s="929">
        <v>3.4584999999999998E-2</v>
      </c>
      <c r="F7" s="930">
        <v>1.6114E-2</v>
      </c>
      <c r="G7" s="1174">
        <f t="shared" si="1"/>
        <v>1.6114E-2</v>
      </c>
      <c r="H7" s="1840"/>
      <c r="I7" s="1838"/>
      <c r="O7" s="1162" t="s">
        <v>320</v>
      </c>
      <c r="P7" s="1167">
        <f t="shared" si="0"/>
        <v>1729</v>
      </c>
      <c r="Q7" s="1170" t="str">
        <f t="shared" si="0"/>
        <v xml:space="preserve">                 725 </v>
      </c>
      <c r="R7" s="1164">
        <f t="shared" ref="R7:R10" si="3">D8</f>
        <v>42</v>
      </c>
      <c r="S7" s="1165">
        <f>E8</f>
        <v>1.7631000000000001E-2</v>
      </c>
      <c r="T7" s="1165">
        <f t="shared" si="2"/>
        <v>8.9619999999999995E-3</v>
      </c>
    </row>
    <row r="8" spans="1:20" ht="15" thickBot="1">
      <c r="A8" s="926" t="s">
        <v>275</v>
      </c>
      <c r="B8" s="927">
        <v>1729</v>
      </c>
      <c r="C8" s="928" t="s">
        <v>849</v>
      </c>
      <c r="D8" s="928">
        <v>42</v>
      </c>
      <c r="E8" s="929">
        <v>1.7631000000000001E-2</v>
      </c>
      <c r="F8" s="930">
        <v>8.9619999999999995E-3</v>
      </c>
      <c r="G8" s="1174">
        <f t="shared" si="1"/>
        <v>8.9619999999999995E-3</v>
      </c>
      <c r="H8" s="1840"/>
      <c r="I8" s="1838"/>
      <c r="O8" s="1162" t="s">
        <v>321</v>
      </c>
      <c r="P8" s="1167">
        <f t="shared" si="0"/>
        <v>2047</v>
      </c>
      <c r="Q8" s="1170" t="str">
        <f t="shared" si="0"/>
        <v xml:space="preserve">                77 </v>
      </c>
      <c r="R8" s="1164">
        <f t="shared" si="3"/>
        <v>42</v>
      </c>
      <c r="S8" s="1165">
        <f>E9</f>
        <v>2.0871000000000001E-2</v>
      </c>
      <c r="T8" s="1165">
        <f t="shared" si="2"/>
        <v>6.0520000000000001E-3</v>
      </c>
    </row>
    <row r="9" spans="1:20" ht="15" thickBot="1">
      <c r="A9" s="926" t="s">
        <v>57</v>
      </c>
      <c r="B9" s="927">
        <v>2047</v>
      </c>
      <c r="C9" s="928" t="s">
        <v>850</v>
      </c>
      <c r="D9" s="928">
        <v>42</v>
      </c>
      <c r="E9" s="929">
        <v>2.0871000000000001E-2</v>
      </c>
      <c r="F9" s="930">
        <v>6.0520000000000001E-3</v>
      </c>
      <c r="G9" s="1174">
        <f t="shared" si="1"/>
        <v>6.0520000000000001E-3</v>
      </c>
      <c r="H9" s="1840"/>
      <c r="I9" s="1838"/>
      <c r="O9" s="1162" t="s">
        <v>322</v>
      </c>
      <c r="P9" s="1167">
        <f t="shared" si="0"/>
        <v>34770</v>
      </c>
      <c r="Q9" s="1169" t="str">
        <f t="shared" si="0"/>
        <v xml:space="preserve">            1,260 </v>
      </c>
      <c r="R9" s="1164">
        <f t="shared" si="3"/>
        <v>42</v>
      </c>
      <c r="S9" s="1165">
        <f>E10</f>
        <v>0.35451300000000002</v>
      </c>
      <c r="T9" s="1165">
        <f t="shared" si="2"/>
        <v>0.10274</v>
      </c>
    </row>
    <row r="10" spans="1:20" ht="25.8" thickBot="1">
      <c r="A10" s="931" t="s">
        <v>613</v>
      </c>
      <c r="B10" s="932">
        <v>34770</v>
      </c>
      <c r="C10" s="933" t="s">
        <v>851</v>
      </c>
      <c r="D10" s="933">
        <v>42</v>
      </c>
      <c r="E10" s="934">
        <v>0.35451300000000002</v>
      </c>
      <c r="F10" s="935">
        <v>0.10274</v>
      </c>
      <c r="G10" s="1174">
        <f t="shared" si="1"/>
        <v>0.10274</v>
      </c>
      <c r="H10" s="482">
        <f>E10</f>
        <v>0.35451300000000002</v>
      </c>
      <c r="I10" s="1173">
        <f>F10</f>
        <v>0.10274</v>
      </c>
      <c r="O10" s="1162" t="s">
        <v>5</v>
      </c>
      <c r="P10" s="1168">
        <f t="shared" si="0"/>
        <v>98077</v>
      </c>
      <c r="Q10" s="1171" t="str">
        <f t="shared" si="0"/>
        <v xml:space="preserve">          28,200 </v>
      </c>
      <c r="R10" s="1163">
        <f t="shared" si="3"/>
        <v>42</v>
      </c>
      <c r="S10" s="1166">
        <f>E11</f>
        <v>1</v>
      </c>
      <c r="T10" s="1166">
        <f t="shared" si="2"/>
        <v>0.34686400000000001</v>
      </c>
    </row>
    <row r="11" spans="1:20" ht="15" thickBot="1">
      <c r="A11" s="926" t="s">
        <v>276</v>
      </c>
      <c r="B11" s="927">
        <v>98077</v>
      </c>
      <c r="C11" s="928" t="s">
        <v>852</v>
      </c>
      <c r="D11" s="928">
        <v>42</v>
      </c>
      <c r="E11" s="929">
        <v>1</v>
      </c>
      <c r="F11" s="930">
        <v>0.34686400000000001</v>
      </c>
      <c r="G11" s="1174">
        <f t="shared" si="1"/>
        <v>0.34686400000000001</v>
      </c>
      <c r="H11" s="482"/>
    </row>
    <row r="15" spans="1:20">
      <c r="K15" s="482"/>
    </row>
    <row r="22" spans="1:10">
      <c r="J22"/>
    </row>
    <row r="23" spans="1:10">
      <c r="J23" s="2"/>
    </row>
    <row r="24" spans="1:10">
      <c r="J24" s="2"/>
    </row>
    <row r="25" spans="1:10">
      <c r="J25" s="2"/>
    </row>
    <row r="26" spans="1:10" ht="15" thickBot="1">
      <c r="J26" s="2"/>
    </row>
    <row r="27" spans="1:10">
      <c r="A27" s="922"/>
      <c r="B27" s="1044"/>
      <c r="C27" s="1835"/>
      <c r="D27" s="1835"/>
      <c r="E27" s="1044"/>
      <c r="F27" s="925"/>
    </row>
    <row r="28" spans="1:10" ht="15" thickBot="1">
      <c r="A28" s="923"/>
      <c r="B28" s="921"/>
      <c r="C28" s="1836"/>
      <c r="D28" s="1836"/>
      <c r="E28" s="921"/>
      <c r="F28" s="1161"/>
    </row>
    <row r="29" spans="1:10" ht="15" thickBot="1">
      <c r="A29" s="924"/>
      <c r="B29" s="651"/>
      <c r="C29" s="1837"/>
      <c r="D29" s="1837"/>
      <c r="E29" s="651"/>
      <c r="F29"/>
    </row>
    <row r="30" spans="1:10" ht="15" thickBot="1">
      <c r="A30" s="926"/>
      <c r="B30" s="927"/>
      <c r="C30" s="928"/>
      <c r="D30" s="928"/>
      <c r="E30" s="929"/>
      <c r="F30" s="930"/>
    </row>
    <row r="31" spans="1:10" ht="15" thickBot="1">
      <c r="A31" s="926"/>
      <c r="B31" s="927"/>
      <c r="C31" s="928"/>
      <c r="D31" s="928"/>
      <c r="E31" s="929"/>
      <c r="F31" s="930"/>
    </row>
    <row r="32" spans="1:10" ht="15" thickBot="1">
      <c r="A32" s="926"/>
      <c r="B32" s="927"/>
      <c r="C32" s="928"/>
      <c r="D32" s="928"/>
      <c r="E32" s="929"/>
      <c r="F32" s="930"/>
    </row>
    <row r="33" spans="1:6" ht="15" thickBot="1">
      <c r="A33" s="926"/>
      <c r="B33" s="927"/>
      <c r="C33" s="928"/>
      <c r="D33" s="928"/>
      <c r="E33" s="929"/>
      <c r="F33" s="930"/>
    </row>
    <row r="34" spans="1:6" ht="15" thickBot="1">
      <c r="A34" s="931"/>
      <c r="B34" s="932"/>
      <c r="C34" s="933"/>
      <c r="D34" s="933"/>
      <c r="E34" s="934"/>
      <c r="F34" s="935"/>
    </row>
    <row r="35" spans="1:6" ht="15" thickBot="1">
      <c r="A35" s="926"/>
      <c r="B35" s="927"/>
      <c r="C35" s="928"/>
      <c r="D35" s="928"/>
      <c r="E35" s="929"/>
      <c r="F35" s="930"/>
    </row>
    <row r="36" spans="1:6" ht="15" thickBot="1">
      <c r="A36" s="652"/>
      <c r="B36" s="653"/>
      <c r="C36" s="654"/>
    </row>
  </sheetData>
  <customSheetViews>
    <customSheetView guid="{7E8F70E7-08A0-442B-A100-F92E13F1F337}">
      <selection activeCell="B6" sqref="B6"/>
      <pageMargins left="0.7" right="0.7" top="0.75" bottom="0.75" header="0.3" footer="0.3"/>
      <pageSetup orientation="portrait" r:id="rId1"/>
    </customSheetView>
    <customSheetView guid="{52F27401-6741-4136-9223-9843499AE81D}">
      <selection activeCell="B6" sqref="B6"/>
      <pageMargins left="0.7" right="0.7" top="0.75" bottom="0.75" header="0.3" footer="0.3"/>
      <pageSetup orientation="portrait" r:id="rId2"/>
    </customSheetView>
  </customSheetViews>
  <mergeCells count="13">
    <mergeCell ref="B2:B5"/>
    <mergeCell ref="C27:C29"/>
    <mergeCell ref="I6:I9"/>
    <mergeCell ref="H6:H9"/>
    <mergeCell ref="S3:T3"/>
    <mergeCell ref="O3:O4"/>
    <mergeCell ref="C2:C5"/>
    <mergeCell ref="P3:Q3"/>
    <mergeCell ref="D27:D29"/>
    <mergeCell ref="D2:D5"/>
    <mergeCell ref="E2:E5"/>
    <mergeCell ref="F2:F5"/>
    <mergeCell ref="R3:R4"/>
  </mergeCells>
  <pageMargins left="0.7" right="0.7" top="0.75" bottom="0.75" header="0.3" footer="0.3"/>
  <pageSetup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158"/>
  <sheetViews>
    <sheetView showWhiteSpace="0" topLeftCell="D109" zoomScaleNormal="100" workbookViewId="0">
      <selection activeCell="K126" sqref="K126"/>
    </sheetView>
  </sheetViews>
  <sheetFormatPr defaultColWidth="9.109375" defaultRowHeight="14.4" outlineLevelCol="1"/>
  <cols>
    <col min="1" max="1" width="11.44140625" style="11" customWidth="1"/>
    <col min="2" max="2" width="24.44140625" style="11" customWidth="1"/>
    <col min="3" max="3" width="16.44140625" style="11" customWidth="1"/>
    <col min="4" max="4" width="19.109375" style="11" customWidth="1"/>
    <col min="5" max="5" width="38" style="11" customWidth="1"/>
    <col min="6" max="6" width="16.109375" style="11" customWidth="1"/>
    <col min="7" max="7" width="11.88671875" style="11" customWidth="1" outlineLevel="1"/>
    <col min="8" max="8" width="17.33203125" style="11" customWidth="1"/>
    <col min="9" max="9" width="15.109375" style="11" customWidth="1" outlineLevel="1"/>
    <col min="10" max="10" width="16.88671875" style="11" customWidth="1"/>
    <col min="11" max="11" width="10.109375" style="11" customWidth="1" outlineLevel="1"/>
    <col min="12" max="12" width="13.33203125" style="11" customWidth="1"/>
    <col min="13" max="13" width="15.5546875" style="11" customWidth="1" outlineLevel="1"/>
    <col min="14" max="14" width="10.5546875" style="11" customWidth="1"/>
    <col min="15" max="15" width="10.5546875" style="11" bestFit="1" customWidth="1" outlineLevel="1"/>
    <col min="16" max="16" width="9.44140625" style="11" customWidth="1"/>
    <col min="17" max="17" width="10.6640625" style="11" customWidth="1" outlineLevel="1"/>
    <col min="18" max="18" width="14.44140625" style="11" customWidth="1"/>
    <col min="19" max="19" width="12.5546875" style="11" customWidth="1" outlineLevel="1"/>
    <col min="20" max="20" width="25.44140625" style="11" customWidth="1"/>
    <col min="21" max="21" width="26.6640625" style="11" customWidth="1"/>
    <col min="22" max="22" width="12.33203125" style="643" bestFit="1" customWidth="1"/>
    <col min="23" max="24" width="16.44140625" style="11" customWidth="1"/>
    <col min="25" max="25" width="13.109375" style="11" customWidth="1"/>
    <col min="26" max="28" width="9.109375" style="11"/>
    <col min="29" max="29" width="35.109375" style="11" customWidth="1"/>
    <col min="30" max="30" width="19.6640625" style="11" customWidth="1"/>
    <col min="31" max="31" width="11.33203125" style="11" bestFit="1" customWidth="1"/>
    <col min="32" max="32" width="9.109375" style="11"/>
    <col min="33" max="33" width="10.6640625" style="11" bestFit="1" customWidth="1"/>
    <col min="34" max="34" width="15.109375" style="11" customWidth="1"/>
    <col min="35" max="37" width="9.109375" style="11"/>
    <col min="38" max="38" width="13.5546875" style="11" customWidth="1"/>
    <col min="39" max="39" width="16" style="11" customWidth="1"/>
    <col min="40" max="40" width="11.44140625" style="11" customWidth="1"/>
    <col min="41" max="41" width="14.33203125" style="11" customWidth="1"/>
    <col min="42" max="16384" width="9.109375" style="11"/>
  </cols>
  <sheetData>
    <row r="1" spans="1:31">
      <c r="K1" s="643"/>
      <c r="V1" s="11"/>
    </row>
    <row r="2" spans="1:31">
      <c r="K2" s="643"/>
      <c r="V2" s="11"/>
    </row>
    <row r="3" spans="1:31" s="331" customFormat="1" ht="124.2" thickBot="1">
      <c r="A3" s="1756" t="s">
        <v>331</v>
      </c>
      <c r="B3" s="1756"/>
      <c r="C3" s="1756"/>
      <c r="D3" s="1756"/>
      <c r="E3" s="1757"/>
      <c r="F3" s="401" t="s">
        <v>113</v>
      </c>
      <c r="G3" s="223" t="str">
        <f>"SE of "&amp;F3</f>
        <v>SE of Proportion of program units in this path</v>
      </c>
      <c r="H3" s="114" t="s">
        <v>385</v>
      </c>
      <c r="I3" s="575" t="s">
        <v>384</v>
      </c>
      <c r="J3" s="114" t="s">
        <v>386</v>
      </c>
      <c r="K3" s="134"/>
      <c r="L3" s="331" t="s">
        <v>452</v>
      </c>
      <c r="M3" s="331" t="s">
        <v>453</v>
      </c>
      <c r="N3" s="1756" t="s">
        <v>331</v>
      </c>
      <c r="O3" s="1756"/>
      <c r="P3" s="1756"/>
      <c r="Q3" s="1756"/>
      <c r="R3" s="1757"/>
      <c r="S3" s="575" t="str">
        <f>J3</f>
        <v>% Distribution in Sec. Mkt (including ARP)</v>
      </c>
      <c r="T3" s="575" t="str">
        <f>I3</f>
        <v>Second-hand Market Volume</v>
      </c>
      <c r="W3" s="331" t="s">
        <v>388</v>
      </c>
      <c r="X3" s="1756" t="s">
        <v>331</v>
      </c>
      <c r="Y3" s="1756"/>
      <c r="Z3" s="1756"/>
      <c r="AA3" s="1756"/>
      <c r="AB3" s="1757"/>
      <c r="AC3" s="575" t="str">
        <f>S3</f>
        <v>% Distribution in Sec. Mkt (including ARP)</v>
      </c>
      <c r="AD3" s="575" t="str">
        <f>T3</f>
        <v>Second-hand Market Volume</v>
      </c>
    </row>
    <row r="4" spans="1:31" ht="15" thickBot="1">
      <c r="A4" s="1823" t="s">
        <v>267</v>
      </c>
      <c r="B4" s="1824"/>
      <c r="C4" s="1824"/>
      <c r="D4" s="1824"/>
      <c r="E4" s="1825"/>
      <c r="F4" s="530">
        <f>'Statewide Ref Dispostion'!AN8</f>
        <v>0.136803497976</v>
      </c>
      <c r="G4" s="530">
        <f>'Statewide Ref Dispostion'!AP8</f>
        <v>2.7723</v>
      </c>
      <c r="H4" s="573">
        <f>F4</f>
        <v>0.136803497976</v>
      </c>
      <c r="I4" s="574">
        <f>($M$5/SUM(H$7:H$24))*H4</f>
        <v>284109.59055488073</v>
      </c>
      <c r="J4" s="421">
        <f>I4/I$26</f>
        <v>0.14809193061248674</v>
      </c>
      <c r="K4" s="690"/>
      <c r="L4" s="691"/>
      <c r="M4" s="692"/>
      <c r="N4" s="1823" t="s">
        <v>267</v>
      </c>
      <c r="O4" s="1824"/>
      <c r="P4" s="1824"/>
      <c r="Q4" s="1824"/>
      <c r="R4" s="1824"/>
      <c r="S4" s="579">
        <f t="shared" ref="S4:S25" si="0">J4</f>
        <v>0.14809193061248674</v>
      </c>
      <c r="T4" s="578">
        <f t="shared" ref="T4:T20" si="1">I4</f>
        <v>284109.59055488073</v>
      </c>
      <c r="V4" s="11"/>
      <c r="X4" s="1823" t="s">
        <v>267</v>
      </c>
      <c r="Y4" s="1824"/>
      <c r="Z4" s="1824"/>
      <c r="AA4" s="1824"/>
      <c r="AB4" s="1824"/>
      <c r="AC4" s="418">
        <f>S4</f>
        <v>0.14809193061248674</v>
      </c>
      <c r="AD4" s="574">
        <f>T4</f>
        <v>284109.59055488073</v>
      </c>
      <c r="AE4" s="331"/>
    </row>
    <row r="5" spans="1:31" ht="15" thickBot="1">
      <c r="A5" s="1823" t="s">
        <v>268</v>
      </c>
      <c r="B5" s="1824"/>
      <c r="C5" s="1824"/>
      <c r="D5" s="1824"/>
      <c r="E5" s="1825"/>
      <c r="F5" s="530">
        <f>'Statewide Ref Dispostion'!AN9</f>
        <v>2.3024502023999999E-2</v>
      </c>
      <c r="G5" s="530">
        <f>'Statewide Ref Dispostion'!AP9</f>
        <v>2.7723</v>
      </c>
      <c r="H5" s="573">
        <f t="shared" ref="H5:H24" si="2">F5</f>
        <v>2.3024502023999999E-2</v>
      </c>
      <c r="I5" s="574">
        <f t="shared" ref="I5:I6" si="3">($M$5/SUM(H$7:H$24))*H5</f>
        <v>47816.627056687263</v>
      </c>
      <c r="J5" s="421">
        <f t="shared" ref="J5:J20" si="4">I5/I$26</f>
        <v>2.4924384292596479E-2</v>
      </c>
      <c r="K5" s="421" t="s">
        <v>471</v>
      </c>
      <c r="L5" s="695"/>
      <c r="M5" s="568">
        <f>SUM(I7:I24)</f>
        <v>1107241.7171028946</v>
      </c>
      <c r="N5" s="1823" t="s">
        <v>268</v>
      </c>
      <c r="O5" s="1824"/>
      <c r="P5" s="1824"/>
      <c r="Q5" s="1824"/>
      <c r="R5" s="1824"/>
      <c r="S5" s="579">
        <f t="shared" si="0"/>
        <v>2.4924384292596479E-2</v>
      </c>
      <c r="T5" s="578">
        <f t="shared" si="1"/>
        <v>47816.627056687263</v>
      </c>
      <c r="V5" s="11"/>
      <c r="X5" s="1823" t="s">
        <v>268</v>
      </c>
      <c r="Y5" s="1824"/>
      <c r="Z5" s="1824"/>
      <c r="AA5" s="1824"/>
      <c r="AB5" s="1824"/>
      <c r="AC5" s="418">
        <f t="shared" ref="AC5:AC6" si="5">S5</f>
        <v>2.4924384292596479E-2</v>
      </c>
      <c r="AD5" s="574">
        <f>T5</f>
        <v>47816.627056687263</v>
      </c>
      <c r="AE5" s="331"/>
    </row>
    <row r="6" spans="1:31" ht="15" thickBot="1">
      <c r="A6" s="1826" t="s">
        <v>133</v>
      </c>
      <c r="B6" s="1827"/>
      <c r="C6" s="1827"/>
      <c r="D6" s="1827"/>
      <c r="E6" s="1828"/>
      <c r="F6" s="537">
        <f>'Statewide Ref Dispostion'!AN10</f>
        <v>0.18151916060000001</v>
      </c>
      <c r="G6" s="537">
        <f>'Statewide Ref Dispostion'!AP10</f>
        <v>2.144933359575032</v>
      </c>
      <c r="H6" s="573">
        <f t="shared" si="2"/>
        <v>0.18151916060000001</v>
      </c>
      <c r="I6" s="574">
        <f t="shared" si="3"/>
        <v>376973.79934670246</v>
      </c>
      <c r="J6" s="421">
        <f t="shared" si="4"/>
        <v>0.19649733620939996</v>
      </c>
      <c r="K6" s="421"/>
      <c r="N6" s="1826" t="s">
        <v>133</v>
      </c>
      <c r="O6" s="1827"/>
      <c r="P6" s="1827"/>
      <c r="Q6" s="1827"/>
      <c r="R6" s="1827"/>
      <c r="S6" s="579">
        <f t="shared" si="0"/>
        <v>0.19649733620939996</v>
      </c>
      <c r="T6" s="578">
        <f t="shared" si="1"/>
        <v>376973.79934670246</v>
      </c>
      <c r="V6" s="11"/>
      <c r="X6" s="1826" t="s">
        <v>133</v>
      </c>
      <c r="Y6" s="1827"/>
      <c r="Z6" s="1827"/>
      <c r="AA6" s="1827"/>
      <c r="AB6" s="1827"/>
      <c r="AC6" s="418">
        <f t="shared" si="5"/>
        <v>0.19649733620939996</v>
      </c>
      <c r="AD6" s="574">
        <f>T6</f>
        <v>376973.79934670246</v>
      </c>
      <c r="AE6" s="331"/>
    </row>
    <row r="7" spans="1:31" ht="15" thickBot="1">
      <c r="A7" s="1861" t="s">
        <v>340</v>
      </c>
      <c r="B7" s="1861" t="s">
        <v>341</v>
      </c>
      <c r="C7" s="1861" t="s">
        <v>342</v>
      </c>
      <c r="D7" s="1862" t="s">
        <v>344</v>
      </c>
      <c r="E7" s="1870"/>
      <c r="F7" s="270">
        <f>'Statewide Ref Dispostion'!AN11</f>
        <v>1.1642391561073492E-2</v>
      </c>
      <c r="G7" s="270">
        <f>'Statewide Ref Dispostion'!AP11</f>
        <v>0.71163415254117457</v>
      </c>
      <c r="H7" s="573">
        <f t="shared" si="2"/>
        <v>1.1642391561073492E-2</v>
      </c>
      <c r="I7" s="680">
        <f t="shared" ref="I7:I14" si="6">M$7*(H7/SUM(H$7:H$14))</f>
        <v>39205.515281162036</v>
      </c>
      <c r="J7" s="681">
        <f t="shared" si="4"/>
        <v>2.0435848143335038E-2</v>
      </c>
      <c r="K7" s="681" t="s">
        <v>470</v>
      </c>
      <c r="L7" s="696"/>
      <c r="M7" s="689">
        <f>J74</f>
        <v>1000804.3306286377</v>
      </c>
      <c r="N7" s="1861" t="s">
        <v>340</v>
      </c>
      <c r="O7" s="1861" t="s">
        <v>341</v>
      </c>
      <c r="P7" s="1861" t="s">
        <v>342</v>
      </c>
      <c r="Q7" s="1862" t="s">
        <v>344</v>
      </c>
      <c r="R7" s="1863"/>
      <c r="S7" s="579">
        <f t="shared" si="0"/>
        <v>2.0435848143335038E-2</v>
      </c>
      <c r="T7" s="578">
        <f t="shared" si="1"/>
        <v>39205.515281162036</v>
      </c>
      <c r="U7" s="418">
        <f>SUM(S7:S10)</f>
        <v>0.43310418922058186</v>
      </c>
      <c r="V7" s="578">
        <f>SUM(T7:T10)</f>
        <v>830896.41250640771</v>
      </c>
      <c r="X7" s="1829" t="s">
        <v>340</v>
      </c>
      <c r="Y7" s="1829" t="s">
        <v>341</v>
      </c>
      <c r="Z7" s="581" t="s">
        <v>342</v>
      </c>
      <c r="AA7" s="582"/>
      <c r="AB7" s="583"/>
      <c r="AC7" s="418">
        <f>U7</f>
        <v>0.43310418922058186</v>
      </c>
      <c r="AD7" s="574">
        <f>V7</f>
        <v>830896.41250640771</v>
      </c>
      <c r="AE7" s="331"/>
    </row>
    <row r="8" spans="1:31" ht="15" thickBot="1">
      <c r="A8" s="1861"/>
      <c r="B8" s="1861"/>
      <c r="C8" s="1861"/>
      <c r="D8" s="1862" t="s">
        <v>345</v>
      </c>
      <c r="E8" s="1870"/>
      <c r="F8" s="270">
        <f>'Statewide Ref Dispostion'!AN12</f>
        <v>9.9035037548185934E-2</v>
      </c>
      <c r="G8" s="270">
        <f>'Statewide Ref Dispostion'!AP12</f>
        <v>5.1404435522609502</v>
      </c>
      <c r="H8" s="573">
        <f t="shared" si="2"/>
        <v>9.9035037548185934E-2</v>
      </c>
      <c r="I8" s="683">
        <f t="shared" si="6"/>
        <v>333498.46185793902</v>
      </c>
      <c r="J8" s="684">
        <f t="shared" si="4"/>
        <v>0.17383584614788541</v>
      </c>
      <c r="K8" s="684"/>
      <c r="L8" s="697"/>
      <c r="M8" s="685"/>
      <c r="N8" s="1861"/>
      <c r="O8" s="1861"/>
      <c r="P8" s="1861"/>
      <c r="Q8" s="1862" t="s">
        <v>345</v>
      </c>
      <c r="R8" s="1863"/>
      <c r="S8" s="579">
        <f t="shared" si="0"/>
        <v>0.17383584614788541</v>
      </c>
      <c r="T8" s="578">
        <f t="shared" si="1"/>
        <v>333498.46185793902</v>
      </c>
      <c r="V8" s="11"/>
      <c r="X8" s="1830"/>
      <c r="Y8" s="1831"/>
      <c r="Z8" s="584" t="s">
        <v>343</v>
      </c>
      <c r="AA8" s="585"/>
      <c r="AB8" s="586"/>
      <c r="AC8" s="418">
        <f>U11</f>
        <v>8.8564386622523514E-2</v>
      </c>
      <c r="AD8" s="574">
        <f>V11</f>
        <v>169907.91812222966</v>
      </c>
      <c r="AE8" s="331"/>
    </row>
    <row r="9" spans="1:31" ht="15" thickBot="1">
      <c r="A9" s="1861"/>
      <c r="B9" s="1861"/>
      <c r="C9" s="1861"/>
      <c r="D9" s="1862" t="s">
        <v>346</v>
      </c>
      <c r="E9" s="1870"/>
      <c r="F9" s="270">
        <f>'Statewide Ref Dispostion'!AN13</f>
        <v>8.4221478298931493E-2</v>
      </c>
      <c r="G9" s="270">
        <f>'Statewide Ref Dispostion'!AP13</f>
        <v>4.388512052775968</v>
      </c>
      <c r="H9" s="573">
        <f t="shared" si="2"/>
        <v>8.4221478298931493E-2</v>
      </c>
      <c r="I9" s="683">
        <f t="shared" si="6"/>
        <v>283614.10429545434</v>
      </c>
      <c r="J9" s="684">
        <f t="shared" si="4"/>
        <v>0.14783365873716178</v>
      </c>
      <c r="K9" s="684"/>
      <c r="L9" s="697"/>
      <c r="M9" s="685"/>
      <c r="N9" s="1861"/>
      <c r="O9" s="1861"/>
      <c r="P9" s="1861"/>
      <c r="Q9" s="1862" t="s">
        <v>346</v>
      </c>
      <c r="R9" s="1863"/>
      <c r="S9" s="579">
        <f t="shared" si="0"/>
        <v>0.14783365873716178</v>
      </c>
      <c r="T9" s="578">
        <f t="shared" si="1"/>
        <v>283614.10429545434</v>
      </c>
      <c r="V9" s="11"/>
      <c r="X9" s="1830"/>
      <c r="Y9" s="1818" t="s">
        <v>88</v>
      </c>
      <c r="Z9" s="1818" t="s">
        <v>348</v>
      </c>
      <c r="AA9" s="587" t="s">
        <v>342</v>
      </c>
      <c r="AB9" s="576"/>
      <c r="AC9" s="418">
        <f>U15</f>
        <v>2.5012769025245889E-2</v>
      </c>
      <c r="AD9" s="574">
        <f>V15</f>
        <v>47986.190314458778</v>
      </c>
      <c r="AE9" s="331"/>
    </row>
    <row r="10" spans="1:31" ht="15" thickBot="1">
      <c r="A10" s="1861"/>
      <c r="B10" s="1861"/>
      <c r="C10" s="1861"/>
      <c r="D10" s="1862" t="s">
        <v>347</v>
      </c>
      <c r="E10" s="1870"/>
      <c r="F10" s="273">
        <f>'Statewide Ref Dispostion'!AN14</f>
        <v>5.1842432725117987E-2</v>
      </c>
      <c r="G10" s="273">
        <f>'Statewide Ref Dispostion'!AP14</f>
        <v>2.7432112796196733</v>
      </c>
      <c r="H10" s="573">
        <f t="shared" si="2"/>
        <v>5.1842432725117987E-2</v>
      </c>
      <c r="I10" s="683">
        <f t="shared" si="6"/>
        <v>174578.33107185233</v>
      </c>
      <c r="J10" s="684">
        <f t="shared" si="4"/>
        <v>9.0998836192199617E-2</v>
      </c>
      <c r="K10" s="684"/>
      <c r="L10" s="697"/>
      <c r="M10" s="685"/>
      <c r="N10" s="1861"/>
      <c r="O10" s="1861"/>
      <c r="P10" s="1861"/>
      <c r="Q10" s="1862" t="s">
        <v>347</v>
      </c>
      <c r="R10" s="1863"/>
      <c r="S10" s="579">
        <f t="shared" si="0"/>
        <v>9.0998836192199617E-2</v>
      </c>
      <c r="T10" s="578">
        <f t="shared" si="1"/>
        <v>174578.33107185233</v>
      </c>
      <c r="V10" s="11"/>
      <c r="X10" s="1830"/>
      <c r="Y10" s="1819"/>
      <c r="Z10" s="1819"/>
      <c r="AA10" s="588" t="s">
        <v>343</v>
      </c>
      <c r="AB10" s="93"/>
      <c r="AC10" s="418">
        <f>U18</f>
        <v>6.744065197915157E-3</v>
      </c>
      <c r="AD10" s="574">
        <f>V18</f>
        <v>12938.271478605053</v>
      </c>
      <c r="AE10" s="331"/>
    </row>
    <row r="11" spans="1:31" ht="15" thickBot="1">
      <c r="A11" s="1861"/>
      <c r="B11" s="1861"/>
      <c r="C11" s="1864" t="s">
        <v>343</v>
      </c>
      <c r="D11" s="1865" t="s">
        <v>344</v>
      </c>
      <c r="E11" s="1868"/>
      <c r="F11" s="275">
        <f>'Statewide Ref Dispostion'!AN15</f>
        <v>1.4023771042849197E-2</v>
      </c>
      <c r="G11" s="275">
        <f>'Statewide Ref Dispostion'!AP15</f>
        <v>0.82062945896532768</v>
      </c>
      <c r="H11" s="573">
        <f t="shared" si="2"/>
        <v>1.4023771042849197E-2</v>
      </c>
      <c r="I11" s="683">
        <f t="shared" si="6"/>
        <v>47224.76194309054</v>
      </c>
      <c r="J11" s="684">
        <f t="shared" si="4"/>
        <v>2.4615875005164361E-2</v>
      </c>
      <c r="K11" s="684"/>
      <c r="L11" s="697"/>
      <c r="M11" s="685"/>
      <c r="N11" s="1861"/>
      <c r="O11" s="1861"/>
      <c r="P11" s="1864" t="s">
        <v>343</v>
      </c>
      <c r="Q11" s="1865" t="s">
        <v>344</v>
      </c>
      <c r="R11" s="1866"/>
      <c r="S11" s="579">
        <f t="shared" si="0"/>
        <v>2.4615875005164361E-2</v>
      </c>
      <c r="T11" s="578">
        <f t="shared" si="1"/>
        <v>47224.76194309054</v>
      </c>
      <c r="U11" s="418">
        <f>SUM(S11:S14)</f>
        <v>8.8564386622523514E-2</v>
      </c>
      <c r="V11" s="578">
        <f>SUM(T11:T14)</f>
        <v>169907.91812222966</v>
      </c>
      <c r="X11" s="1830"/>
      <c r="Y11" s="1858"/>
      <c r="Z11" s="1860" t="s">
        <v>349</v>
      </c>
      <c r="AA11" s="1860"/>
      <c r="AB11" s="1860"/>
      <c r="AC11" s="418">
        <f t="shared" ref="AC11:AD15" si="7">S21</f>
        <v>1.7680776902197592E-3</v>
      </c>
      <c r="AD11" s="574">
        <f t="shared" si="7"/>
        <v>3681.1445590778699</v>
      </c>
      <c r="AE11" s="331"/>
    </row>
    <row r="12" spans="1:31" ht="15" thickBot="1">
      <c r="A12" s="1861"/>
      <c r="B12" s="1861"/>
      <c r="C12" s="1864"/>
      <c r="D12" s="1865" t="s">
        <v>345</v>
      </c>
      <c r="E12" s="1868"/>
      <c r="F12" s="277">
        <f>'Statewide Ref Dispostion'!AN16</f>
        <v>4.3865910057667235E-3</v>
      </c>
      <c r="G12" s="277">
        <f>'Statewide Ref Dispostion'!AP16</f>
        <v>0.31215528612774668</v>
      </c>
      <c r="H12" s="573">
        <f t="shared" si="2"/>
        <v>4.3865910057667235E-3</v>
      </c>
      <c r="I12" s="683">
        <f t="shared" si="6"/>
        <v>14771.755425561194</v>
      </c>
      <c r="J12" s="684">
        <f t="shared" si="4"/>
        <v>7.6997674567563183E-3</v>
      </c>
      <c r="K12" s="684"/>
      <c r="L12" s="697"/>
      <c r="M12" s="685"/>
      <c r="N12" s="1861"/>
      <c r="O12" s="1861"/>
      <c r="P12" s="1864"/>
      <c r="Q12" s="1865" t="s">
        <v>345</v>
      </c>
      <c r="R12" s="1866"/>
      <c r="S12" s="579">
        <f t="shared" si="0"/>
        <v>7.6997674567563183E-3</v>
      </c>
      <c r="T12" s="578">
        <f t="shared" si="1"/>
        <v>14771.755425561194</v>
      </c>
      <c r="V12" s="11"/>
      <c r="X12" s="1830"/>
      <c r="Y12" s="1858"/>
      <c r="Z12" s="1860" t="s">
        <v>350</v>
      </c>
      <c r="AA12" s="1860"/>
      <c r="AB12" s="1860"/>
      <c r="AC12" s="418">
        <f t="shared" si="7"/>
        <v>9.0124007263855065E-4</v>
      </c>
      <c r="AD12" s="574">
        <f t="shared" si="7"/>
        <v>1876.385301487511</v>
      </c>
      <c r="AE12" s="331"/>
    </row>
    <row r="13" spans="1:31" ht="15" thickBot="1">
      <c r="A13" s="1861"/>
      <c r="B13" s="1861"/>
      <c r="C13" s="1864"/>
      <c r="D13" s="1865" t="s">
        <v>346</v>
      </c>
      <c r="E13" s="1868"/>
      <c r="F13" s="277">
        <f>'Statewide Ref Dispostion'!AN17</f>
        <v>2.0012557038668416E-2</v>
      </c>
      <c r="G13" s="277">
        <f>'Statewide Ref Dispostion'!AP17</f>
        <v>1.1081772867721706</v>
      </c>
      <c r="H13" s="573">
        <f t="shared" si="2"/>
        <v>2.0012557038668416E-2</v>
      </c>
      <c r="I13" s="683">
        <f t="shared" si="6"/>
        <v>67391.876203337102</v>
      </c>
      <c r="J13" s="684">
        <f t="shared" si="4"/>
        <v>3.5127969580534261E-2</v>
      </c>
      <c r="K13" s="684"/>
      <c r="L13" s="697"/>
      <c r="M13" s="685"/>
      <c r="N13" s="1861"/>
      <c r="O13" s="1861"/>
      <c r="P13" s="1864"/>
      <c r="Q13" s="1865" t="s">
        <v>346</v>
      </c>
      <c r="R13" s="1866"/>
      <c r="S13" s="579">
        <f t="shared" si="0"/>
        <v>3.5127969580534261E-2</v>
      </c>
      <c r="T13" s="578">
        <f t="shared" si="1"/>
        <v>67391.876203337102</v>
      </c>
      <c r="V13" s="11"/>
      <c r="X13" s="1830"/>
      <c r="Y13" s="1858"/>
      <c r="Z13" s="1860" t="s">
        <v>57</v>
      </c>
      <c r="AA13" s="1860"/>
      <c r="AB13" s="1860"/>
      <c r="AC13" s="418">
        <f t="shared" si="7"/>
        <v>1.0669973560966531E-3</v>
      </c>
      <c r="AD13" s="574">
        <f t="shared" si="7"/>
        <v>2221.4926039010616</v>
      </c>
      <c r="AE13" s="331"/>
    </row>
    <row r="14" spans="1:31" ht="15" thickBot="1">
      <c r="A14" s="1861"/>
      <c r="B14" s="1861"/>
      <c r="C14" s="1864"/>
      <c r="D14" s="1865" t="s">
        <v>347</v>
      </c>
      <c r="E14" s="1868"/>
      <c r="F14" s="279">
        <f>'Statewide Ref Dispostion'!AN18</f>
        <v>1.2032597130769086E-2</v>
      </c>
      <c r="G14" s="279">
        <f>'Statewide Ref Dispostion'!AP18</f>
        <v>0.69844116090033626</v>
      </c>
      <c r="H14" s="573">
        <f t="shared" si="2"/>
        <v>1.2032597130769086E-2</v>
      </c>
      <c r="I14" s="686">
        <f t="shared" si="6"/>
        <v>40519.524550240814</v>
      </c>
      <c r="J14" s="687">
        <f t="shared" si="4"/>
        <v>2.1120774580068575E-2</v>
      </c>
      <c r="K14" s="687"/>
      <c r="L14" s="698"/>
      <c r="M14" s="688"/>
      <c r="N14" s="1861"/>
      <c r="O14" s="1861"/>
      <c r="P14" s="1864"/>
      <c r="Q14" s="1865" t="s">
        <v>347</v>
      </c>
      <c r="R14" s="1866"/>
      <c r="S14" s="579">
        <f t="shared" si="0"/>
        <v>2.1120774580068575E-2</v>
      </c>
      <c r="T14" s="578">
        <f t="shared" si="1"/>
        <v>40519.524550240814</v>
      </c>
      <c r="V14" s="11"/>
      <c r="X14" s="1867"/>
      <c r="Y14" s="1859"/>
      <c r="Z14" s="1860" t="s">
        <v>266</v>
      </c>
      <c r="AA14" s="1860"/>
      <c r="AB14" s="1860"/>
      <c r="AC14" s="418">
        <f t="shared" si="7"/>
        <v>1.8123838823390633E-2</v>
      </c>
      <c r="AD14" s="574">
        <f t="shared" si="7"/>
        <v>37733.90221672687</v>
      </c>
      <c r="AE14" s="331"/>
    </row>
    <row r="15" spans="1:31" ht="15" thickBot="1">
      <c r="A15" s="1861"/>
      <c r="B15" s="1850" t="s">
        <v>88</v>
      </c>
      <c r="C15" s="1850" t="s">
        <v>342</v>
      </c>
      <c r="D15" s="1818" t="s">
        <v>348</v>
      </c>
      <c r="E15" s="517" t="s">
        <v>345</v>
      </c>
      <c r="F15" s="281">
        <f>'Statewide Ref Dispostion'!AN19</f>
        <v>3.6340924882971623E-2</v>
      </c>
      <c r="G15" s="281">
        <f>'Statewide Ref Dispostion'!AP19</f>
        <v>1.91660078991883</v>
      </c>
      <c r="H15" s="573">
        <f t="shared" si="2"/>
        <v>3.6340924882971623E-2</v>
      </c>
      <c r="I15" s="680">
        <f>M$15*(H15/SUM(H$15:H$20))</f>
        <v>10405.494053718525</v>
      </c>
      <c r="J15" s="681">
        <f t="shared" si="4"/>
        <v>5.4238566898862292E-3</v>
      </c>
      <c r="K15" s="681" t="s">
        <v>449</v>
      </c>
      <c r="L15" s="682">
        <f>SecMktProportions!P5</f>
        <v>56139</v>
      </c>
      <c r="M15" s="693">
        <f>L15*'Census to IOU'!C$21</f>
        <v>60924.461793063841</v>
      </c>
      <c r="N15" s="1861"/>
      <c r="O15" s="1850" t="s">
        <v>88</v>
      </c>
      <c r="P15" s="1850" t="s">
        <v>342</v>
      </c>
      <c r="Q15" s="1818" t="s">
        <v>348</v>
      </c>
      <c r="R15" s="576" t="s">
        <v>345</v>
      </c>
      <c r="S15" s="579">
        <f t="shared" si="0"/>
        <v>5.4238566898862292E-3</v>
      </c>
      <c r="T15" s="578">
        <f t="shared" si="1"/>
        <v>10405.494053718525</v>
      </c>
      <c r="U15" s="418">
        <f>SUM(S15:S17)</f>
        <v>2.5012769025245889E-2</v>
      </c>
      <c r="V15" s="574">
        <f>SUM(T15:T17)</f>
        <v>47986.190314458778</v>
      </c>
      <c r="X15" s="1856" t="s">
        <v>387</v>
      </c>
      <c r="Y15" s="1857"/>
      <c r="Z15" s="1857"/>
      <c r="AA15" s="1857"/>
      <c r="AB15" s="1857"/>
      <c r="AC15" s="418">
        <f t="shared" si="7"/>
        <v>5.3337357821175435E-2</v>
      </c>
      <c r="AD15" s="574">
        <f t="shared" si="7"/>
        <v>102326</v>
      </c>
    </row>
    <row r="16" spans="1:31" ht="15" thickBot="1">
      <c r="A16" s="1861"/>
      <c r="B16" s="1850"/>
      <c r="C16" s="1850"/>
      <c r="D16" s="1819"/>
      <c r="E16" s="517" t="s">
        <v>346</v>
      </c>
      <c r="F16" s="283">
        <f>'Statewide Ref Dispostion'!AN20</f>
        <v>7.4297916790629318E-2</v>
      </c>
      <c r="G16" s="283">
        <f>'Statewide Ref Dispostion'!AP20</f>
        <v>5.8945527307264713</v>
      </c>
      <c r="H16" s="573">
        <f t="shared" si="2"/>
        <v>7.4297916790629318E-2</v>
      </c>
      <c r="I16" s="683">
        <f>M$15*(H16/SUM(H$15:H$20))</f>
        <v>21273.716446628576</v>
      </c>
      <c r="J16" s="684">
        <f t="shared" si="4"/>
        <v>1.1088910211481473E-2</v>
      </c>
      <c r="K16" s="684"/>
      <c r="L16" s="685"/>
      <c r="M16" s="685"/>
      <c r="N16" s="1861"/>
      <c r="O16" s="1850"/>
      <c r="P16" s="1850"/>
      <c r="Q16" s="1819"/>
      <c r="R16" s="576" t="s">
        <v>346</v>
      </c>
      <c r="S16" s="579">
        <f t="shared" si="0"/>
        <v>1.1088910211481473E-2</v>
      </c>
      <c r="T16" s="578">
        <f t="shared" si="1"/>
        <v>21273.716446628576</v>
      </c>
      <c r="V16" s="11"/>
      <c r="X16" s="1609" t="s">
        <v>476</v>
      </c>
      <c r="Y16" s="1609"/>
      <c r="Z16" s="1609"/>
      <c r="AA16" s="1609"/>
      <c r="AB16" s="1609"/>
      <c r="AC16" s="418">
        <f>SUM(AC4:AC15)</f>
        <v>0.99813657294427061</v>
      </c>
      <c r="AD16" s="574">
        <f>SUM(AD4:AD15)</f>
        <v>1918467.734061165</v>
      </c>
    </row>
    <row r="17" spans="1:31" ht="15" thickBot="1">
      <c r="A17" s="1861"/>
      <c r="B17" s="1850"/>
      <c r="C17" s="1850"/>
      <c r="D17" s="1819"/>
      <c r="E17" s="517" t="s">
        <v>347</v>
      </c>
      <c r="F17" s="285">
        <f>'Statewide Ref Dispostion'!AN21</f>
        <v>5.6951714683935721E-2</v>
      </c>
      <c r="G17" s="285">
        <f>'Statewide Ref Dispostion'!AP21</f>
        <v>4.5430947206500267</v>
      </c>
      <c r="H17" s="573">
        <f t="shared" si="2"/>
        <v>5.6951714683935721E-2</v>
      </c>
      <c r="I17" s="683">
        <f t="shared" ref="I17:I19" si="8">M$15*(H17/SUM(H$15:H$20))</f>
        <v>16306.979814111679</v>
      </c>
      <c r="J17" s="684">
        <f t="shared" si="4"/>
        <v>8.5000021238781885E-3</v>
      </c>
      <c r="K17" s="684"/>
      <c r="L17" s="685"/>
      <c r="M17" s="685"/>
      <c r="N17" s="1861"/>
      <c r="O17" s="1850"/>
      <c r="P17" s="1850"/>
      <c r="Q17" s="1819"/>
      <c r="R17" s="576" t="s">
        <v>347</v>
      </c>
      <c r="S17" s="579">
        <f t="shared" si="0"/>
        <v>8.5000021238781885E-3</v>
      </c>
      <c r="T17" s="578">
        <f t="shared" si="1"/>
        <v>16306.979814111679</v>
      </c>
      <c r="V17" s="11"/>
      <c r="X17" s="1609" t="s">
        <v>477</v>
      </c>
      <c r="Y17" s="1609"/>
      <c r="Z17" s="1609"/>
      <c r="AA17" s="1609"/>
      <c r="AB17" s="1609"/>
      <c r="AC17" s="418">
        <f>AD17/AD16</f>
        <v>0.73049653513383239</v>
      </c>
      <c r="AD17" s="574">
        <f>AD16-(AD15+AD14+AD6)</f>
        <v>1401434.0324977357</v>
      </c>
    </row>
    <row r="18" spans="1:31" ht="15" thickBot="1">
      <c r="A18" s="1861"/>
      <c r="B18" s="1850"/>
      <c r="C18" s="1851" t="s">
        <v>343</v>
      </c>
      <c r="D18" s="1819"/>
      <c r="E18" s="518" t="s">
        <v>345</v>
      </c>
      <c r="F18" s="287">
        <f>'Statewide Ref Dispostion'!AN22</f>
        <v>3.297520714939247E-2</v>
      </c>
      <c r="G18" s="287">
        <f>'Statewide Ref Dispostion'!AP22</f>
        <v>2.6751857303164588</v>
      </c>
      <c r="H18" s="573">
        <f t="shared" si="2"/>
        <v>3.297520714939247E-2</v>
      </c>
      <c r="I18" s="683">
        <f t="shared" si="8"/>
        <v>9441.7883699464746</v>
      </c>
      <c r="J18" s="684">
        <f t="shared" si="4"/>
        <v>4.9215257584548202E-3</v>
      </c>
      <c r="K18" s="684"/>
      <c r="L18" s="685"/>
      <c r="M18" s="685"/>
      <c r="N18" s="1861"/>
      <c r="O18" s="1850"/>
      <c r="P18" s="1851" t="s">
        <v>343</v>
      </c>
      <c r="Q18" s="1819"/>
      <c r="R18" s="577" t="s">
        <v>345</v>
      </c>
      <c r="S18" s="579">
        <f t="shared" si="0"/>
        <v>4.9215257584548202E-3</v>
      </c>
      <c r="T18" s="578">
        <f t="shared" si="1"/>
        <v>9441.7883699464746</v>
      </c>
      <c r="U18" s="418">
        <f>SUM(S18:S20)</f>
        <v>6.744065197915157E-3</v>
      </c>
      <c r="V18" s="574">
        <f>SUM(T18:T20)</f>
        <v>12938.271478605053</v>
      </c>
    </row>
    <row r="19" spans="1:31" ht="15" thickBot="1">
      <c r="A19" s="1861"/>
      <c r="B19" s="1850"/>
      <c r="C19" s="1851"/>
      <c r="D19" s="1819"/>
      <c r="E19" s="518" t="s">
        <v>346</v>
      </c>
      <c r="F19" s="289">
        <f>'Statewide Ref Dispostion'!AN23</f>
        <v>2.8933750518450236E-3</v>
      </c>
      <c r="G19" s="289">
        <f>'Statewide Ref Dispostion'!AP23</f>
        <v>0.31005092682723129</v>
      </c>
      <c r="H19" s="573">
        <f t="shared" si="2"/>
        <v>2.8933750518450236E-3</v>
      </c>
      <c r="I19" s="683">
        <f t="shared" si="8"/>
        <v>828.4598422881154</v>
      </c>
      <c r="J19" s="684">
        <f t="shared" si="4"/>
        <v>4.3183412865347793E-4</v>
      </c>
      <c r="K19" s="684"/>
      <c r="L19" s="685"/>
      <c r="M19" s="685"/>
      <c r="N19" s="1861"/>
      <c r="O19" s="1850"/>
      <c r="P19" s="1851"/>
      <c r="Q19" s="1819"/>
      <c r="R19" s="577" t="s">
        <v>346</v>
      </c>
      <c r="S19" s="579">
        <f t="shared" si="0"/>
        <v>4.3183412865347793E-4</v>
      </c>
      <c r="T19" s="578">
        <f t="shared" si="1"/>
        <v>828.4598422881154</v>
      </c>
      <c r="V19" s="11"/>
    </row>
    <row r="20" spans="1:31" ht="15" thickBot="1">
      <c r="A20" s="1861"/>
      <c r="B20" s="1850"/>
      <c r="C20" s="1851"/>
      <c r="D20" s="1820"/>
      <c r="E20" s="518" t="s">
        <v>347</v>
      </c>
      <c r="F20" s="291">
        <f>'Statewide Ref Dispostion'!AN24</f>
        <v>9.318003797670742E-3</v>
      </c>
      <c r="G20" s="291">
        <f>'Statewide Ref Dispostion'!AP24</f>
        <v>0.77282016983257151</v>
      </c>
      <c r="H20" s="573">
        <f t="shared" si="2"/>
        <v>9.318003797670742E-3</v>
      </c>
      <c r="I20" s="686">
        <f>M$15*(H20/SUM(H$15:H$20))</f>
        <v>2668.0232663704619</v>
      </c>
      <c r="J20" s="687">
        <f t="shared" si="4"/>
        <v>1.3907053108068584E-3</v>
      </c>
      <c r="K20" s="687"/>
      <c r="L20" s="688"/>
      <c r="M20" s="688"/>
      <c r="N20" s="1861"/>
      <c r="O20" s="1850"/>
      <c r="P20" s="1851"/>
      <c r="Q20" s="1820"/>
      <c r="R20" s="577" t="s">
        <v>347</v>
      </c>
      <c r="S20" s="579">
        <f t="shared" si="0"/>
        <v>1.3907053108068584E-3</v>
      </c>
      <c r="T20" s="578">
        <f t="shared" si="1"/>
        <v>2668.0232663704619</v>
      </c>
      <c r="V20" s="11"/>
    </row>
    <row r="21" spans="1:31" ht="15" thickBot="1">
      <c r="A21" s="1861"/>
      <c r="B21" s="1850"/>
      <c r="C21" s="1852" t="s">
        <v>342</v>
      </c>
      <c r="D21" s="1853" t="s">
        <v>349</v>
      </c>
      <c r="E21" s="1822"/>
      <c r="F21" s="293">
        <f>'Statewide Ref Dispostion'!AN25</f>
        <v>5.3098210650899032E-3</v>
      </c>
      <c r="G21" s="293">
        <f>'Statewide Ref Dispostion'!AP25</f>
        <v>0.47994651336711391</v>
      </c>
      <c r="H21" s="573">
        <f t="shared" si="2"/>
        <v>5.3098210650899032E-3</v>
      </c>
      <c r="I21" s="568">
        <f>M21</f>
        <v>3681.1445590778699</v>
      </c>
      <c r="J21" s="421">
        <f>L21/I$26</f>
        <v>1.7680776902197592E-3</v>
      </c>
      <c r="K21" s="684" t="s">
        <v>454</v>
      </c>
      <c r="L21" s="186">
        <f>SecMktProportions!P6</f>
        <v>3392</v>
      </c>
      <c r="M21" s="568">
        <f>L21*'Census to IOU'!C$21</f>
        <v>3681.1445590778699</v>
      </c>
      <c r="N21" s="1861"/>
      <c r="O21" s="1850"/>
      <c r="P21" s="1852" t="s">
        <v>342</v>
      </c>
      <c r="Q21" s="1853" t="s">
        <v>349</v>
      </c>
      <c r="R21" s="1821"/>
      <c r="S21" s="579">
        <f t="shared" si="0"/>
        <v>1.7680776902197592E-3</v>
      </c>
      <c r="T21" s="578">
        <f>I21</f>
        <v>3681.1445590778699</v>
      </c>
      <c r="V21" s="11"/>
      <c r="X21" s="1823" t="s">
        <v>498</v>
      </c>
      <c r="Y21" s="1824"/>
      <c r="Z21" s="1824"/>
      <c r="AA21" s="1824"/>
      <c r="AB21" s="1824"/>
      <c r="AC21" s="418">
        <f>AD21/AD23</f>
        <v>0.93576158743183879</v>
      </c>
      <c r="AD21" s="574">
        <f>J74</f>
        <v>1000804.3306286377</v>
      </c>
    </row>
    <row r="22" spans="1:31" ht="15" thickBot="1">
      <c r="A22" s="1861"/>
      <c r="B22" s="1850"/>
      <c r="C22" s="1852"/>
      <c r="D22" s="1853" t="s">
        <v>350</v>
      </c>
      <c r="E22" s="1822"/>
      <c r="F22" s="293">
        <f>'Statewide Ref Dispostion'!AN26</f>
        <v>1.1841082338023101E-3</v>
      </c>
      <c r="G22" s="293">
        <f>'Statewide Ref Dispostion'!AP26</f>
        <v>0.15243155333857014</v>
      </c>
      <c r="H22" s="573">
        <f t="shared" si="2"/>
        <v>1.1841082338023101E-3</v>
      </c>
      <c r="I22" s="568">
        <f t="shared" ref="I22:I24" si="9">M22</f>
        <v>1876.385301487511</v>
      </c>
      <c r="J22" s="421">
        <f>L22/I$26</f>
        <v>9.0124007263855065E-4</v>
      </c>
      <c r="K22" s="681" t="s">
        <v>472</v>
      </c>
      <c r="L22" s="186">
        <f>SecMktProportions!P7</f>
        <v>1729</v>
      </c>
      <c r="M22" s="568">
        <f>L22*'Census to IOU'!C$21</f>
        <v>1876.385301487511</v>
      </c>
      <c r="N22" s="1861"/>
      <c r="O22" s="1850"/>
      <c r="P22" s="1852"/>
      <c r="Q22" s="1853" t="s">
        <v>350</v>
      </c>
      <c r="R22" s="1821"/>
      <c r="S22" s="579">
        <f t="shared" si="0"/>
        <v>9.0124007263855065E-4</v>
      </c>
      <c r="T22" s="578">
        <f t="shared" ref="T22:T24" si="10">I22</f>
        <v>1876.385301487511</v>
      </c>
      <c r="V22" s="11"/>
      <c r="X22" s="1823" t="s">
        <v>499</v>
      </c>
      <c r="Y22" s="1824"/>
      <c r="Z22" s="1824"/>
      <c r="AA22" s="1824"/>
      <c r="AB22" s="1824"/>
      <c r="AC22" s="418">
        <f>AD22/AD23</f>
        <v>6.4238412568161249E-2</v>
      </c>
      <c r="AD22" s="574">
        <f>SUM(M15:M23)</f>
        <v>68703.484257530275</v>
      </c>
      <c r="AE22" s="11">
        <f>AD22/X31</f>
        <v>0.64548263099401493</v>
      </c>
    </row>
    <row r="23" spans="1:31" ht="15" thickBot="1">
      <c r="A23" s="1861"/>
      <c r="B23" s="1850"/>
      <c r="C23" s="1852"/>
      <c r="D23" s="1853" t="s">
        <v>57</v>
      </c>
      <c r="E23" s="1822"/>
      <c r="F23" s="293">
        <f>'Statewide Ref Dispostion'!AN27</f>
        <v>1.105280935239851E-2</v>
      </c>
      <c r="G23" s="293">
        <f>'Statewide Ref Dispostion'!AP27</f>
        <v>0.86811967799163647</v>
      </c>
      <c r="H23" s="573">
        <f t="shared" si="2"/>
        <v>1.105280935239851E-2</v>
      </c>
      <c r="I23" s="568">
        <f t="shared" si="9"/>
        <v>2221.4926039010616</v>
      </c>
      <c r="J23" s="421">
        <f>L23/I$26</f>
        <v>1.0669973560966531E-3</v>
      </c>
      <c r="K23" s="421" t="s">
        <v>473</v>
      </c>
      <c r="L23" s="186">
        <f>SecMktProportions!P8</f>
        <v>2047</v>
      </c>
      <c r="M23" s="568">
        <f>L23*'Census to IOU'!C$21</f>
        <v>2221.4926039010616</v>
      </c>
      <c r="N23" s="1861"/>
      <c r="O23" s="1850"/>
      <c r="P23" s="1852"/>
      <c r="Q23" s="1853" t="s">
        <v>57</v>
      </c>
      <c r="R23" s="1821"/>
      <c r="S23" s="579">
        <f t="shared" si="0"/>
        <v>1.0669973560966531E-3</v>
      </c>
      <c r="T23" s="578">
        <f t="shared" si="10"/>
        <v>2221.4926039010616</v>
      </c>
      <c r="V23" s="11"/>
      <c r="X23" s="1826" t="s">
        <v>500</v>
      </c>
      <c r="Y23" s="1827"/>
      <c r="Z23" s="1827"/>
      <c r="AA23" s="1827"/>
      <c r="AB23" s="1827"/>
      <c r="AC23" s="418">
        <f>AD23/AD23</f>
        <v>1</v>
      </c>
      <c r="AD23" s="574">
        <f>SUM(AD21:AD22)</f>
        <v>1069507.8148861679</v>
      </c>
    </row>
    <row r="24" spans="1:31" ht="15" thickBot="1">
      <c r="A24" s="1861"/>
      <c r="B24" s="1850"/>
      <c r="C24" s="1869" t="s">
        <v>266</v>
      </c>
      <c r="D24" s="1869"/>
      <c r="E24" s="1869"/>
      <c r="F24" s="293">
        <f>'Statewide Ref Dispostion'!AN28</f>
        <v>5.6345838280219213E-3</v>
      </c>
      <c r="G24" s="293">
        <f>'Statewide Ref Dispostion'!AP28</f>
        <v>0.44255654308719217</v>
      </c>
      <c r="H24" s="573">
        <f t="shared" si="2"/>
        <v>5.6345838280219213E-3</v>
      </c>
      <c r="I24" s="568">
        <f t="shared" si="9"/>
        <v>37733.90221672687</v>
      </c>
      <c r="J24" s="421">
        <f>L24/I$26</f>
        <v>1.8123838823390633E-2</v>
      </c>
      <c r="K24" s="421" t="s">
        <v>455</v>
      </c>
      <c r="L24" s="186">
        <f>SecMktProportions!P9</f>
        <v>34770</v>
      </c>
      <c r="M24" s="568">
        <f>L24*'Census to IOU'!C$21</f>
        <v>37733.90221672687</v>
      </c>
      <c r="N24" s="1829"/>
      <c r="O24" s="1818"/>
      <c r="P24" s="1854" t="s">
        <v>266</v>
      </c>
      <c r="Q24" s="1854"/>
      <c r="R24" s="1855"/>
      <c r="S24" s="579">
        <f t="shared" si="0"/>
        <v>1.8123838823390633E-2</v>
      </c>
      <c r="T24" s="578">
        <f t="shared" si="10"/>
        <v>37733.90221672687</v>
      </c>
      <c r="V24" s="11"/>
    </row>
    <row r="25" spans="1:31">
      <c r="E25" s="432" t="s">
        <v>5</v>
      </c>
      <c r="F25" s="419">
        <v>0.99724333125571873</v>
      </c>
      <c r="H25" s="11" t="s">
        <v>383</v>
      </c>
      <c r="I25" s="568">
        <f>('Summary Tables'!O25+'Summary Tables'!O26+'Summary Tables'!O28+'Summary Tables'!O29+'Summary Tables'!O30+'Summary Tables'!O31)/3</f>
        <v>102326</v>
      </c>
      <c r="J25" s="421">
        <f>I25/I$26</f>
        <v>5.3337357821175435E-2</v>
      </c>
      <c r="K25" s="421" t="s">
        <v>474</v>
      </c>
      <c r="L25" s="568">
        <f>I25</f>
        <v>102326</v>
      </c>
      <c r="M25" s="568">
        <f>L25</f>
        <v>102326</v>
      </c>
      <c r="N25" s="1856" t="s">
        <v>387</v>
      </c>
      <c r="O25" s="1857"/>
      <c r="P25" s="1857"/>
      <c r="Q25" s="1857"/>
      <c r="R25" s="1857"/>
      <c r="S25" s="579">
        <f t="shared" si="0"/>
        <v>5.3337357821175435E-2</v>
      </c>
      <c r="T25" s="578">
        <f>I25</f>
        <v>102326</v>
      </c>
      <c r="V25" s="11"/>
    </row>
    <row r="26" spans="1:31">
      <c r="I26" s="574">
        <f>SUM(I4:I25)</f>
        <v>1918467.734061165</v>
      </c>
      <c r="J26" s="418">
        <f>SUM(J4:J25)</f>
        <v>0.99813657294427061</v>
      </c>
      <c r="K26" s="418"/>
      <c r="N26" s="1609" t="s">
        <v>5</v>
      </c>
      <c r="O26" s="1609"/>
      <c r="P26" s="1609"/>
      <c r="Q26" s="1609"/>
      <c r="R26" s="1609"/>
      <c r="S26" s="580">
        <f>SUM(S4:S25)</f>
        <v>0.99813657294427061</v>
      </c>
      <c r="T26" s="1192">
        <f>SUM(T4:T25)</f>
        <v>1918467.734061165</v>
      </c>
      <c r="V26" s="11"/>
    </row>
    <row r="27" spans="1:31">
      <c r="K27" s="643"/>
      <c r="V27" s="11"/>
    </row>
    <row r="28" spans="1:31">
      <c r="F28" s="916"/>
    </row>
    <row r="29" spans="1:31">
      <c r="F29" s="916"/>
      <c r="W29" s="11">
        <v>120636</v>
      </c>
    </row>
    <row r="30" spans="1:31">
      <c r="F30" s="916"/>
      <c r="W30" s="574">
        <f>W29+M7</f>
        <v>1121440.3306286377</v>
      </c>
    </row>
    <row r="31" spans="1:31">
      <c r="F31" s="916"/>
      <c r="X31" s="568">
        <f>SUM(M15:M24)</f>
        <v>106437.38647425715</v>
      </c>
    </row>
    <row r="32" spans="1:31">
      <c r="F32" s="916"/>
    </row>
    <row r="33" spans="2:6">
      <c r="F33" s="916"/>
    </row>
    <row r="34" spans="2:6">
      <c r="F34" s="916"/>
    </row>
    <row r="35" spans="2:6">
      <c r="F35" s="916"/>
    </row>
    <row r="36" spans="2:6">
      <c r="F36" s="916"/>
    </row>
    <row r="37" spans="2:6">
      <c r="F37" s="916"/>
    </row>
    <row r="38" spans="2:6">
      <c r="F38" s="916"/>
    </row>
    <row r="39" spans="2:6">
      <c r="B39" s="11" t="s">
        <v>419</v>
      </c>
      <c r="F39" s="916"/>
    </row>
    <row r="40" spans="2:6">
      <c r="B40" s="647" t="s">
        <v>412</v>
      </c>
      <c r="C40" s="660">
        <v>400000</v>
      </c>
      <c r="D40" s="524"/>
      <c r="F40" s="916"/>
    </row>
    <row r="41" spans="2:6">
      <c r="B41" s="647" t="s">
        <v>413</v>
      </c>
      <c r="C41" s="660">
        <v>143000</v>
      </c>
      <c r="D41" s="524"/>
      <c r="F41" s="916"/>
    </row>
    <row r="42" spans="2:6">
      <c r="B42" s="647" t="s">
        <v>414</v>
      </c>
      <c r="C42" s="660">
        <v>99000</v>
      </c>
      <c r="D42" s="524"/>
      <c r="F42" s="916"/>
    </row>
    <row r="43" spans="2:6">
      <c r="B43" s="647" t="s">
        <v>87</v>
      </c>
      <c r="C43" s="661">
        <v>64318</v>
      </c>
      <c r="D43" s="524"/>
      <c r="F43" s="916"/>
    </row>
    <row r="44" spans="2:6">
      <c r="B44" s="647" t="s">
        <v>415</v>
      </c>
      <c r="C44" s="661">
        <v>30547</v>
      </c>
      <c r="D44" s="524"/>
      <c r="F44" s="916"/>
    </row>
    <row r="45" spans="2:6">
      <c r="B45" s="647"/>
      <c r="C45" s="524"/>
      <c r="D45" s="524"/>
      <c r="F45" s="916"/>
    </row>
    <row r="46" spans="2:6">
      <c r="B46" s="647" t="s">
        <v>416</v>
      </c>
      <c r="C46" s="662">
        <f>C43/C41</f>
        <v>0.44977622377622378</v>
      </c>
      <c r="D46" s="663" t="s">
        <v>417</v>
      </c>
      <c r="F46" s="916"/>
    </row>
    <row r="47" spans="2:6">
      <c r="B47" s="647" t="s">
        <v>478</v>
      </c>
      <c r="C47" s="660">
        <f>C40*C46</f>
        <v>179910.48951048951</v>
      </c>
      <c r="D47" s="663" t="s">
        <v>418</v>
      </c>
      <c r="F47" s="916"/>
    </row>
    <row r="48" spans="2:6">
      <c r="B48" s="694" t="s">
        <v>479</v>
      </c>
      <c r="C48" s="572">
        <f>(C47/10)*12</f>
        <v>215892.5874125874</v>
      </c>
      <c r="D48" s="11" t="s">
        <v>480</v>
      </c>
      <c r="F48" s="916"/>
    </row>
    <row r="49" spans="2:12">
      <c r="B49" s="694" t="s">
        <v>475</v>
      </c>
      <c r="C49" s="574">
        <f>C48*0.75</f>
        <v>161919.44055944055</v>
      </c>
      <c r="D49" s="450" t="s">
        <v>481</v>
      </c>
      <c r="F49" s="916"/>
    </row>
    <row r="53" spans="2:12" ht="15" thickBot="1">
      <c r="B53" s="11" t="s">
        <v>451</v>
      </c>
    </row>
    <row r="54" spans="2:12" ht="27.6">
      <c r="B54" s="1848" t="s">
        <v>450</v>
      </c>
      <c r="C54" s="1849" t="s">
        <v>2</v>
      </c>
      <c r="D54" s="1849" t="s">
        <v>3</v>
      </c>
      <c r="E54" s="648" t="s">
        <v>245</v>
      </c>
      <c r="F54" s="648" t="s">
        <v>245</v>
      </c>
      <c r="H54" s="1848" t="s">
        <v>467</v>
      </c>
      <c r="I54" s="1849" t="s">
        <v>2</v>
      </c>
      <c r="J54" s="1849" t="s">
        <v>3</v>
      </c>
      <c r="K54" s="1391" t="s">
        <v>245</v>
      </c>
      <c r="L54" s="1391" t="s">
        <v>245</v>
      </c>
    </row>
    <row r="55" spans="2:12" ht="27.6">
      <c r="B55" s="1845"/>
      <c r="C55" s="1847"/>
      <c r="D55" s="1847"/>
      <c r="E55" s="650" t="s">
        <v>2</v>
      </c>
      <c r="F55" s="650" t="s">
        <v>3</v>
      </c>
      <c r="H55" s="1845"/>
      <c r="I55" s="1847"/>
      <c r="J55" s="1847"/>
      <c r="K55" s="1392" t="s">
        <v>2</v>
      </c>
      <c r="L55" s="1392" t="s">
        <v>3</v>
      </c>
    </row>
    <row r="56" spans="2:12">
      <c r="B56" s="649" t="b">
        <v>0</v>
      </c>
      <c r="C56" s="643"/>
      <c r="D56" s="79">
        <v>0.67800000000000005</v>
      </c>
      <c r="E56" s="79">
        <v>64318</v>
      </c>
      <c r="F56" s="79">
        <v>67.8</v>
      </c>
      <c r="H56" s="1390">
        <v>-99</v>
      </c>
      <c r="I56" s="918">
        <v>1</v>
      </c>
      <c r="J56" s="918">
        <v>0.17</v>
      </c>
      <c r="K56" s="918">
        <v>1</v>
      </c>
      <c r="L56" s="918">
        <v>0.17</v>
      </c>
    </row>
    <row r="57" spans="2:12">
      <c r="B57" s="649" t="b">
        <v>1</v>
      </c>
      <c r="C57" s="643"/>
      <c r="D57" s="79">
        <v>0.32200000000000001</v>
      </c>
      <c r="E57" s="79">
        <v>94865</v>
      </c>
      <c r="F57" s="79">
        <v>100</v>
      </c>
      <c r="H57" s="1390">
        <v>-98</v>
      </c>
      <c r="I57" s="918">
        <v>15</v>
      </c>
      <c r="J57" s="918">
        <v>2.5299999999999998</v>
      </c>
      <c r="K57" s="918">
        <v>16</v>
      </c>
      <c r="L57" s="918">
        <v>2.7</v>
      </c>
    </row>
    <row r="58" spans="2:12">
      <c r="H58" s="1390">
        <v>1</v>
      </c>
      <c r="I58" s="918">
        <v>245</v>
      </c>
      <c r="J58" s="918">
        <v>41.39</v>
      </c>
      <c r="K58" s="918">
        <v>261</v>
      </c>
      <c r="L58" s="918">
        <v>44.09</v>
      </c>
    </row>
    <row r="59" spans="2:12">
      <c r="H59" s="1390">
        <v>2</v>
      </c>
      <c r="I59" s="918">
        <v>92</v>
      </c>
      <c r="J59" s="918">
        <v>15.54</v>
      </c>
      <c r="K59" s="918">
        <v>353</v>
      </c>
      <c r="L59" s="918">
        <v>59.63</v>
      </c>
    </row>
    <row r="60" spans="2:12">
      <c r="B60" s="643" t="s">
        <v>466</v>
      </c>
      <c r="H60" s="1390">
        <v>3</v>
      </c>
      <c r="I60" s="918">
        <v>121</v>
      </c>
      <c r="J60" s="918">
        <v>20.440000000000001</v>
      </c>
      <c r="K60" s="918">
        <v>474</v>
      </c>
      <c r="L60" s="918">
        <v>80.069999999999993</v>
      </c>
    </row>
    <row r="61" spans="2:12">
      <c r="B61" s="643" t="s">
        <v>456</v>
      </c>
      <c r="C61" s="643"/>
      <c r="H61" s="1390">
        <v>4</v>
      </c>
      <c r="I61" s="918">
        <v>46</v>
      </c>
      <c r="J61" s="918">
        <v>7.77</v>
      </c>
      <c r="K61" s="918">
        <v>520</v>
      </c>
      <c r="L61" s="918">
        <v>87.84</v>
      </c>
    </row>
    <row r="62" spans="2:12">
      <c r="B62" s="643" t="s">
        <v>457</v>
      </c>
      <c r="C62" s="643"/>
      <c r="H62" s="1390">
        <v>5</v>
      </c>
      <c r="I62" s="918">
        <v>65</v>
      </c>
      <c r="J62" s="918">
        <v>10.98</v>
      </c>
      <c r="K62" s="918">
        <v>585</v>
      </c>
      <c r="L62" s="918">
        <v>98.82</v>
      </c>
    </row>
    <row r="63" spans="2:12">
      <c r="B63" s="643">
        <v>1</v>
      </c>
      <c r="C63" s="643" t="s">
        <v>458</v>
      </c>
      <c r="H63" s="1390">
        <v>6</v>
      </c>
      <c r="I63" s="918">
        <v>7</v>
      </c>
      <c r="J63" s="918">
        <v>1.18</v>
      </c>
      <c r="K63" s="918">
        <v>592</v>
      </c>
      <c r="L63" s="918">
        <v>100</v>
      </c>
    </row>
    <row r="64" spans="2:12">
      <c r="B64" s="643">
        <v>2</v>
      </c>
      <c r="C64" s="643" t="s">
        <v>459</v>
      </c>
    </row>
    <row r="65" spans="2:18">
      <c r="B65" s="643">
        <v>3</v>
      </c>
      <c r="C65" s="643" t="s">
        <v>460</v>
      </c>
      <c r="H65" s="916"/>
    </row>
    <row r="66" spans="2:18">
      <c r="B66" s="643" t="s">
        <v>461</v>
      </c>
      <c r="C66" s="643"/>
      <c r="H66" s="916"/>
    </row>
    <row r="67" spans="2:18">
      <c r="B67" s="643" t="s">
        <v>462</v>
      </c>
      <c r="C67" s="643"/>
      <c r="H67" s="916"/>
    </row>
    <row r="68" spans="2:18">
      <c r="B68" s="643" t="s">
        <v>463</v>
      </c>
      <c r="C68" s="643"/>
      <c r="H68" s="916"/>
      <c r="I68" s="138" t="s">
        <v>969</v>
      </c>
      <c r="J68" s="568">
        <f>J71/I71</f>
        <v>1077704.1239326787</v>
      </c>
    </row>
    <row r="69" spans="2:18">
      <c r="B69" s="643" t="s">
        <v>464</v>
      </c>
      <c r="C69" s="643"/>
    </row>
    <row r="70" spans="2:18">
      <c r="B70" s="643" t="s">
        <v>465</v>
      </c>
      <c r="C70" s="643"/>
      <c r="H70" s="11" t="s">
        <v>968</v>
      </c>
      <c r="I70" s="421">
        <f>D74*D57</f>
        <v>7.1355199999999994E-2</v>
      </c>
      <c r="J70" s="568">
        <f>J$68*I70</f>
        <v>76899.793304041072</v>
      </c>
      <c r="L70" s="1844" t="s">
        <v>593</v>
      </c>
      <c r="M70" s="1844"/>
      <c r="N70" s="1844"/>
    </row>
    <row r="71" spans="2:18">
      <c r="B71" s="643" t="s">
        <v>467</v>
      </c>
      <c r="C71" s="11" t="s">
        <v>1004</v>
      </c>
      <c r="D71" s="643" t="s">
        <v>3</v>
      </c>
      <c r="H71" s="11" t="s">
        <v>966</v>
      </c>
      <c r="I71" s="421">
        <f>D74*D56</f>
        <v>0.15024480000000001</v>
      </c>
      <c r="J71" s="574">
        <f>C49</f>
        <v>161919.44055944055</v>
      </c>
      <c r="L71" s="1844"/>
      <c r="M71" s="1844"/>
      <c r="N71" s="1844"/>
      <c r="P71" s="916"/>
      <c r="Q71" s="916"/>
      <c r="R71" s="916"/>
    </row>
    <row r="72" spans="2:18">
      <c r="B72" s="643" t="s">
        <v>468</v>
      </c>
      <c r="C72" s="916" t="s">
        <v>469</v>
      </c>
      <c r="D72" s="643" t="s">
        <v>469</v>
      </c>
      <c r="H72" s="11" t="s">
        <v>967</v>
      </c>
      <c r="I72" s="421">
        <f>D73</f>
        <v>0.65500000000000003</v>
      </c>
      <c r="J72" s="568">
        <f>J$68*I72</f>
        <v>705896.2011759046</v>
      </c>
      <c r="L72" s="1041" t="s">
        <v>589</v>
      </c>
      <c r="M72" s="1041" t="s">
        <v>261</v>
      </c>
      <c r="N72" s="1041" t="s">
        <v>293</v>
      </c>
      <c r="P72" s="916"/>
      <c r="Q72" s="916"/>
      <c r="R72" s="916"/>
    </row>
    <row r="73" spans="2:18">
      <c r="B73" s="643">
        <v>1</v>
      </c>
      <c r="C73" s="918">
        <v>245</v>
      </c>
      <c r="D73" s="482">
        <v>0.65500000000000003</v>
      </c>
      <c r="E73" s="568">
        <f>D78*D73</f>
        <v>478597.62439726345</v>
      </c>
      <c r="H73" s="11" t="s">
        <v>57</v>
      </c>
      <c r="I73" s="482">
        <f>D75</f>
        <v>0.1234</v>
      </c>
      <c r="J73" s="568">
        <f>J$68*I73</f>
        <v>132988.68889329254</v>
      </c>
      <c r="L73" s="941"/>
      <c r="M73" s="941"/>
      <c r="N73" s="941"/>
      <c r="P73" s="916"/>
      <c r="Q73" s="916"/>
      <c r="R73" s="916"/>
    </row>
    <row r="74" spans="2:18">
      <c r="B74" s="643">
        <v>2</v>
      </c>
      <c r="C74" s="918">
        <v>92</v>
      </c>
      <c r="D74" s="482">
        <v>0.22159999999999999</v>
      </c>
      <c r="E74" s="568">
        <f>C49</f>
        <v>161919.44055944055</v>
      </c>
      <c r="F74" s="568">
        <f>E74/(E74+E75)</f>
        <v>0.64231884057971012</v>
      </c>
      <c r="I74" s="138" t="s">
        <v>482</v>
      </c>
      <c r="J74" s="1329">
        <f>SUM(J71:J73)</f>
        <v>1000804.3306286377</v>
      </c>
      <c r="L74" s="1041" t="s">
        <v>87</v>
      </c>
      <c r="M74" s="427">
        <f>U111</f>
        <v>0.62173849011057802</v>
      </c>
      <c r="N74" s="1033">
        <f>V111</f>
        <v>2.2847237769264207E-2</v>
      </c>
    </row>
    <row r="75" spans="2:18">
      <c r="B75" s="643">
        <v>4</v>
      </c>
      <c r="C75" s="918">
        <v>46</v>
      </c>
      <c r="D75" s="482">
        <v>0.1234</v>
      </c>
      <c r="E75" s="568">
        <f>D78*D75</f>
        <v>90166.331069652369</v>
      </c>
      <c r="F75" s="568"/>
      <c r="I75" s="138" t="s">
        <v>970</v>
      </c>
      <c r="J75" s="572">
        <f>(J74/M74)*M75</f>
        <v>608882.61420027527</v>
      </c>
      <c r="L75" s="1041" t="s">
        <v>591</v>
      </c>
      <c r="M75" s="427">
        <f>U112</f>
        <v>0.37826150988942192</v>
      </c>
      <c r="N75" s="1033">
        <f>V112</f>
        <v>4.6693779401066074E-2</v>
      </c>
    </row>
    <row r="76" spans="2:18">
      <c r="B76" s="643"/>
      <c r="J76" s="574">
        <f>SUM(J74:J75)</f>
        <v>1609686.9448289131</v>
      </c>
      <c r="L76" s="941"/>
      <c r="M76" s="941"/>
      <c r="N76" s="941"/>
    </row>
    <row r="77" spans="2:18">
      <c r="B77" s="643"/>
      <c r="C77" s="643"/>
    </row>
    <row r="78" spans="2:18">
      <c r="B78" s="643"/>
      <c r="C78" s="138" t="s">
        <v>482</v>
      </c>
      <c r="D78" s="568">
        <f>E74/D74</f>
        <v>730683.39602635638</v>
      </c>
    </row>
    <row r="82" spans="1:6" s="916" customFormat="1"/>
    <row r="83" spans="1:6" s="916" customFormat="1"/>
    <row r="84" spans="1:6" s="916" customFormat="1"/>
    <row r="85" spans="1:6" s="916" customFormat="1"/>
    <row r="86" spans="1:6" s="916" customFormat="1">
      <c r="A86" s="1" t="s">
        <v>581</v>
      </c>
      <c r="B86" s="11"/>
      <c r="C86" s="11"/>
      <c r="D86" s="11"/>
      <c r="E86" s="11"/>
      <c r="F86" s="11"/>
    </row>
    <row r="87" spans="1:6" s="916" customFormat="1">
      <c r="A87" s="77" t="s">
        <v>79</v>
      </c>
      <c r="B87"/>
      <c r="C87"/>
      <c r="D87"/>
      <c r="E87"/>
      <c r="F87"/>
    </row>
    <row r="88" spans="1:6" s="916" customFormat="1" ht="15" thickBot="1">
      <c r="A88" s="843"/>
      <c r="B88"/>
      <c r="C88"/>
      <c r="D88"/>
      <c r="E88"/>
      <c r="F88"/>
    </row>
    <row r="89" spans="1:6" s="916" customFormat="1">
      <c r="A89" s="1848" t="s">
        <v>33</v>
      </c>
      <c r="B89" s="1849"/>
      <c r="C89"/>
      <c r="D89"/>
      <c r="E89"/>
      <c r="F89"/>
    </row>
    <row r="90" spans="1:6" s="916" customFormat="1" ht="41.4">
      <c r="A90" s="919" t="s">
        <v>34</v>
      </c>
      <c r="B90" s="918">
        <v>520</v>
      </c>
      <c r="C90"/>
      <c r="D90"/>
      <c r="E90"/>
      <c r="F90"/>
    </row>
    <row r="91" spans="1:6" s="916" customFormat="1" ht="27.6">
      <c r="A91" s="919" t="s">
        <v>35</v>
      </c>
      <c r="B91" s="918">
        <v>524856</v>
      </c>
      <c r="C91"/>
      <c r="D91"/>
      <c r="E91"/>
      <c r="F91"/>
    </row>
    <row r="92" spans="1:6" s="916" customFormat="1" ht="15" thickBot="1">
      <c r="A92" s="843"/>
      <c r="B92"/>
      <c r="C92"/>
      <c r="D92"/>
      <c r="E92"/>
      <c r="F92"/>
    </row>
    <row r="93" spans="1:6" s="916" customFormat="1">
      <c r="A93" s="1848" t="s">
        <v>583</v>
      </c>
      <c r="B93" s="1849"/>
      <c r="C93" s="1849"/>
      <c r="D93" s="1849"/>
      <c r="E93" s="1849"/>
      <c r="F93" s="1849"/>
    </row>
    <row r="94" spans="1:6" s="916" customFormat="1">
      <c r="A94" s="1845" t="s">
        <v>244</v>
      </c>
      <c r="B94" s="1846" t="s">
        <v>2</v>
      </c>
      <c r="C94" s="917" t="s">
        <v>16</v>
      </c>
      <c r="D94" s="917" t="s">
        <v>82</v>
      </c>
      <c r="E94" s="1846" t="s">
        <v>3</v>
      </c>
      <c r="F94" s="917" t="s">
        <v>84</v>
      </c>
    </row>
    <row r="95" spans="1:6" s="916" customFormat="1">
      <c r="A95" s="1845"/>
      <c r="B95" s="1846"/>
      <c r="C95" s="917" t="s">
        <v>2</v>
      </c>
      <c r="D95" s="917" t="s">
        <v>83</v>
      </c>
      <c r="E95" s="1846"/>
      <c r="F95" s="917" t="s">
        <v>3</v>
      </c>
    </row>
    <row r="96" spans="1:6" s="916" customFormat="1">
      <c r="A96" s="919" t="s">
        <v>87</v>
      </c>
      <c r="B96" s="918">
        <v>373</v>
      </c>
      <c r="C96" s="918">
        <v>374587</v>
      </c>
      <c r="D96" s="918">
        <v>10687</v>
      </c>
      <c r="E96" s="938">
        <v>0.73693799999999998</v>
      </c>
      <c r="F96" s="938">
        <v>2.0153999999999998E-2</v>
      </c>
    </row>
    <row r="97" spans="1:22" s="916" customFormat="1">
      <c r="A97" s="919" t="s">
        <v>246</v>
      </c>
      <c r="B97" s="918">
        <v>131</v>
      </c>
      <c r="C97" s="918">
        <v>133715</v>
      </c>
      <c r="D97" s="918">
        <v>10373</v>
      </c>
      <c r="E97" s="938">
        <v>0.26306200000000002</v>
      </c>
      <c r="F97" s="938">
        <v>2.0153999999999998E-2</v>
      </c>
    </row>
    <row r="98" spans="1:22" s="916" customFormat="1">
      <c r="A98" s="919" t="s">
        <v>5</v>
      </c>
      <c r="B98" s="918">
        <v>504</v>
      </c>
      <c r="C98" s="918">
        <v>508302</v>
      </c>
      <c r="D98" s="918">
        <v>4761</v>
      </c>
      <c r="E98" s="939">
        <v>1</v>
      </c>
      <c r="F98" s="918"/>
    </row>
    <row r="99" spans="1:22">
      <c r="A99" s="1845" t="s">
        <v>247</v>
      </c>
      <c r="B99" s="1847"/>
      <c r="C99" s="1847"/>
      <c r="D99" s="1847"/>
      <c r="E99" s="1847"/>
      <c r="F99" s="1847"/>
    </row>
    <row r="102" spans="1:22" ht="21.6" thickBot="1">
      <c r="A102" s="937" t="s">
        <v>611</v>
      </c>
    </row>
    <row r="103" spans="1:22" ht="15" customHeight="1">
      <c r="A103" s="1848" t="s">
        <v>33</v>
      </c>
      <c r="B103" s="1849"/>
      <c r="C103"/>
      <c r="D103"/>
      <c r="E103"/>
      <c r="F103"/>
    </row>
    <row r="104" spans="1:22" ht="41.4">
      <c r="A104" s="919" t="s">
        <v>34</v>
      </c>
      <c r="B104" s="918">
        <v>366</v>
      </c>
      <c r="C104"/>
      <c r="D104"/>
      <c r="E104"/>
      <c r="F104"/>
      <c r="I104" s="916"/>
      <c r="J104" s="916"/>
    </row>
    <row r="105" spans="1:22" ht="27.6">
      <c r="A105" s="919" t="s">
        <v>35</v>
      </c>
      <c r="B105" s="918">
        <v>604001</v>
      </c>
      <c r="C105"/>
      <c r="D105"/>
      <c r="E105"/>
      <c r="F105"/>
    </row>
    <row r="106" spans="1:22" ht="15" thickBot="1">
      <c r="A106" s="843"/>
      <c r="B106"/>
      <c r="C106"/>
      <c r="D106"/>
      <c r="E106"/>
      <c r="F106"/>
    </row>
    <row r="107" spans="1:22" ht="15" customHeight="1">
      <c r="A107" s="1848" t="s">
        <v>80</v>
      </c>
      <c r="B107" s="1849"/>
      <c r="C107" s="1849"/>
      <c r="D107" s="1849"/>
      <c r="E107" s="1849"/>
      <c r="F107" s="1849"/>
      <c r="H107" s="1844" t="s">
        <v>584</v>
      </c>
      <c r="I107" s="1844"/>
      <c r="J107" s="1844"/>
      <c r="L107" s="1844" t="s">
        <v>592</v>
      </c>
      <c r="M107" s="1844"/>
      <c r="N107" s="1844"/>
      <c r="P107" s="1844" t="s">
        <v>588</v>
      </c>
      <c r="Q107" s="1844"/>
      <c r="R107" s="1844"/>
      <c r="T107" s="1844" t="s">
        <v>593</v>
      </c>
      <c r="U107" s="1844"/>
      <c r="V107" s="1844"/>
    </row>
    <row r="108" spans="1:22" ht="15" customHeight="1">
      <c r="A108" s="1845" t="s">
        <v>81</v>
      </c>
      <c r="B108" s="1846" t="s">
        <v>2</v>
      </c>
      <c r="C108" s="917" t="s">
        <v>16</v>
      </c>
      <c r="D108" s="917" t="s">
        <v>82</v>
      </c>
      <c r="E108" s="1846" t="s">
        <v>3</v>
      </c>
      <c r="F108" s="917" t="s">
        <v>84</v>
      </c>
      <c r="H108" s="1844"/>
      <c r="I108" s="1844"/>
      <c r="J108" s="1844"/>
      <c r="L108" s="1844"/>
      <c r="M108" s="1844"/>
      <c r="N108" s="1844"/>
      <c r="P108" s="1844"/>
      <c r="Q108" s="1844"/>
      <c r="R108" s="1844"/>
      <c r="T108" s="1844"/>
      <c r="U108" s="1844"/>
      <c r="V108" s="1844"/>
    </row>
    <row r="109" spans="1:22" ht="18.75" customHeight="1">
      <c r="A109" s="1845"/>
      <c r="B109" s="1846"/>
      <c r="C109" s="917" t="s">
        <v>2</v>
      </c>
      <c r="D109" s="917" t="s">
        <v>83</v>
      </c>
      <c r="E109" s="1846"/>
      <c r="F109" s="917" t="s">
        <v>3</v>
      </c>
      <c r="H109" s="940" t="s">
        <v>589</v>
      </c>
      <c r="I109" s="940" t="s">
        <v>587</v>
      </c>
      <c r="J109" s="940" t="s">
        <v>293</v>
      </c>
      <c r="L109" s="940" t="s">
        <v>589</v>
      </c>
      <c r="M109" s="940" t="s">
        <v>587</v>
      </c>
      <c r="N109" s="940" t="s">
        <v>293</v>
      </c>
      <c r="P109" s="800" t="s">
        <v>589</v>
      </c>
      <c r="Q109" s="800" t="s">
        <v>590</v>
      </c>
      <c r="R109" s="800" t="s">
        <v>293</v>
      </c>
      <c r="T109" s="800" t="s">
        <v>589</v>
      </c>
      <c r="U109" s="800" t="s">
        <v>261</v>
      </c>
      <c r="V109" s="800" t="s">
        <v>293</v>
      </c>
    </row>
    <row r="110" spans="1:22">
      <c r="A110" s="919" t="s">
        <v>58</v>
      </c>
      <c r="B110" s="918">
        <v>73</v>
      </c>
      <c r="C110" s="918">
        <v>118968</v>
      </c>
      <c r="D110" s="918">
        <v>12910</v>
      </c>
      <c r="E110" s="938">
        <v>0.20257900000000001</v>
      </c>
      <c r="F110" s="1262">
        <v>2.1902999999999999E-2</v>
      </c>
      <c r="H110" s="800" t="s">
        <v>585</v>
      </c>
      <c r="I110" s="427">
        <f>E110</f>
        <v>0.20257900000000001</v>
      </c>
      <c r="J110" s="1386">
        <f>F110</f>
        <v>2.1902999999999999E-2</v>
      </c>
      <c r="K110" s="1036" t="s">
        <v>931</v>
      </c>
      <c r="L110" s="941"/>
      <c r="M110" s="941"/>
      <c r="N110" s="941"/>
      <c r="P110" s="941"/>
      <c r="Q110" s="941"/>
      <c r="R110" s="941"/>
      <c r="T110" s="941"/>
      <c r="U110" s="941"/>
      <c r="V110" s="941"/>
    </row>
    <row r="111" spans="1:22">
      <c r="A111" s="919" t="s">
        <v>87</v>
      </c>
      <c r="B111" s="918">
        <v>110</v>
      </c>
      <c r="C111" s="918">
        <v>186631</v>
      </c>
      <c r="D111" s="918">
        <v>15517</v>
      </c>
      <c r="E111" s="938">
        <v>0.31779600000000002</v>
      </c>
      <c r="F111" s="1262">
        <v>2.5728999999999998E-2</v>
      </c>
      <c r="H111" s="800" t="s">
        <v>87</v>
      </c>
      <c r="I111" s="427">
        <f>E111</f>
        <v>0.31779600000000002</v>
      </c>
      <c r="J111" s="800">
        <f>F111</f>
        <v>2.5728999999999998E-2</v>
      </c>
      <c r="K111" s="1264">
        <f>M111/I111</f>
        <v>1.5939123847410166</v>
      </c>
      <c r="L111" s="800" t="s">
        <v>87</v>
      </c>
      <c r="M111" s="427">
        <f>I111/(I111+I112)</f>
        <v>0.50653898022115618</v>
      </c>
      <c r="N111" s="1033">
        <f>(J111^2*K111^2)^0.5</f>
        <v>4.1009771747001614E-2</v>
      </c>
      <c r="P111" s="800" t="s">
        <v>87</v>
      </c>
      <c r="Q111" s="942">
        <f>E96</f>
        <v>0.73693799999999998</v>
      </c>
      <c r="R111" s="800">
        <f>F96</f>
        <v>2.0153999999999998E-2</v>
      </c>
      <c r="T111" s="800" t="s">
        <v>87</v>
      </c>
      <c r="U111" s="427">
        <f>(0.5*M111)+(0.5*Q111)</f>
        <v>0.62173849011057802</v>
      </c>
      <c r="V111" s="1033">
        <f>SQRT((0.5^2*N111^2)+(0.5^2*R111^2))</f>
        <v>2.2847237769264207E-2</v>
      </c>
    </row>
    <row r="112" spans="1:22">
      <c r="A112" s="919" t="s">
        <v>88</v>
      </c>
      <c r="B112" s="918">
        <v>173</v>
      </c>
      <c r="C112" s="918">
        <v>281667</v>
      </c>
      <c r="D112" s="918">
        <v>16399</v>
      </c>
      <c r="E112" s="938">
        <v>0.47962399999999999</v>
      </c>
      <c r="F112" s="1262">
        <v>2.7394000000000002E-2</v>
      </c>
      <c r="H112" s="800" t="s">
        <v>255</v>
      </c>
      <c r="I112" s="427">
        <f>E112-I113</f>
        <v>0.30959105688799998</v>
      </c>
      <c r="J112" s="983">
        <f>SQRT(F112^2+J113^2)</f>
        <v>5.7209486636392755E-2</v>
      </c>
      <c r="K112" s="1264">
        <f>M112/I112</f>
        <v>1.5939123847410168</v>
      </c>
      <c r="L112" s="800" t="s">
        <v>255</v>
      </c>
      <c r="M112" s="427">
        <f>I112/(I112+I111)</f>
        <v>0.49346101977884382</v>
      </c>
      <c r="N112" s="1033">
        <f>(J112^2*K112^2)^0.5</f>
        <v>9.1186909274422107E-2</v>
      </c>
      <c r="P112" s="800" t="s">
        <v>591</v>
      </c>
      <c r="Q112" s="942">
        <f>E97</f>
        <v>0.26306200000000002</v>
      </c>
      <c r="R112" s="800">
        <f>F97</f>
        <v>2.0153999999999998E-2</v>
      </c>
      <c r="T112" s="800" t="s">
        <v>591</v>
      </c>
      <c r="U112" s="427">
        <f>(0.5*M112)+(0.5*Q112)</f>
        <v>0.37826150988942192</v>
      </c>
      <c r="V112" s="1033">
        <f>SQRT((0.5^2*N112^2)+(0.5^2*R112^2))</f>
        <v>4.6693779401066074E-2</v>
      </c>
    </row>
    <row r="113" spans="1:22">
      <c r="A113" s="919" t="s">
        <v>5</v>
      </c>
      <c r="B113" s="918">
        <v>356</v>
      </c>
      <c r="C113" s="918">
        <v>587266</v>
      </c>
      <c r="D113" s="918">
        <v>8144</v>
      </c>
      <c r="E113" s="918">
        <v>100</v>
      </c>
      <c r="F113" s="918"/>
      <c r="H113" s="800" t="s">
        <v>586</v>
      </c>
      <c r="I113" s="427">
        <f>(E112)*SecMktProportions!H10</f>
        <v>0.17003294311200001</v>
      </c>
      <c r="J113" s="983">
        <f>SQRT((F112/E112)^2+(SecMktProportions!I10/SecMktProportions!H10)^2)*(SecMktProportions!H10*E112)</f>
        <v>5.022443752994752E-2</v>
      </c>
      <c r="L113" s="941"/>
      <c r="M113" s="941"/>
      <c r="N113" s="941"/>
      <c r="P113" s="941"/>
      <c r="Q113" s="941"/>
      <c r="R113" s="941"/>
      <c r="T113" s="941"/>
      <c r="U113" s="941"/>
      <c r="V113" s="941"/>
    </row>
    <row r="114" spans="1:22" ht="15" customHeight="1">
      <c r="A114" s="1845" t="s">
        <v>580</v>
      </c>
      <c r="B114" s="1847"/>
      <c r="C114" s="1847"/>
      <c r="D114" s="1847"/>
      <c r="E114" s="1847"/>
      <c r="F114" s="1847"/>
      <c r="I114" s="936"/>
    </row>
    <row r="116" spans="1:22" ht="15" customHeight="1">
      <c r="B116" s="11" t="s">
        <v>606</v>
      </c>
      <c r="V116" s="11"/>
    </row>
    <row r="117" spans="1:22" s="916" customFormat="1" ht="15" customHeight="1">
      <c r="F117" s="916" t="s">
        <v>261</v>
      </c>
      <c r="G117" s="799" t="s">
        <v>293</v>
      </c>
    </row>
    <row r="118" spans="1:22">
      <c r="B118" s="1265" t="s">
        <v>595</v>
      </c>
      <c r="C118" s="916" t="s">
        <v>596</v>
      </c>
      <c r="D118" s="916"/>
      <c r="E118" s="138" t="s">
        <v>597</v>
      </c>
      <c r="F118" s="418">
        <f>1-'Statewide Ref Dispostion'!F10</f>
        <v>0.78395000000000004</v>
      </c>
      <c r="G118" s="11">
        <f>SQRT('Discarder Disposition'!AJ14^2+'Discarder Disposition'!AJ15^2)</f>
        <v>4.1819556394108247E-2</v>
      </c>
      <c r="H118" s="916"/>
      <c r="V118" s="11"/>
    </row>
    <row r="119" spans="1:22">
      <c r="B119" s="916"/>
      <c r="C119" s="916"/>
      <c r="D119" s="916"/>
      <c r="E119" s="138" t="s">
        <v>608</v>
      </c>
      <c r="F119" s="418">
        <f>U111</f>
        <v>0.62173849011057802</v>
      </c>
      <c r="G119" s="11">
        <f>V111</f>
        <v>2.2847237769264207E-2</v>
      </c>
      <c r="H119" s="916"/>
      <c r="J119" s="916"/>
      <c r="N119" s="916"/>
      <c r="V119" s="11"/>
    </row>
    <row r="120" spans="1:22">
      <c r="B120" s="1265" t="s">
        <v>598</v>
      </c>
      <c r="C120" s="916" t="s">
        <v>932</v>
      </c>
      <c r="D120" s="916"/>
      <c r="E120" s="138" t="s">
        <v>609</v>
      </c>
      <c r="F120" s="418">
        <f>U112</f>
        <v>0.37826150988942192</v>
      </c>
      <c r="G120" s="11">
        <f>V112</f>
        <v>4.6693779401066074E-2</v>
      </c>
      <c r="H120" s="916"/>
      <c r="J120" s="916"/>
      <c r="M120" s="916"/>
      <c r="N120" s="916"/>
      <c r="V120" s="11"/>
    </row>
    <row r="121" spans="1:22">
      <c r="B121" s="916"/>
      <c r="C121" s="916" t="s">
        <v>933</v>
      </c>
      <c r="D121" s="916"/>
      <c r="E121" s="138" t="s">
        <v>599</v>
      </c>
      <c r="F121" s="418">
        <f>1-'Statewide Ref Dispostion'!M30</f>
        <v>0.64548699999999992</v>
      </c>
      <c r="G121" s="11">
        <f>SecMktProportions!I6</f>
        <v>0.33129900000000001</v>
      </c>
      <c r="H121" s="916"/>
      <c r="M121" s="916"/>
      <c r="N121" s="916"/>
      <c r="V121" s="11"/>
    </row>
    <row r="122" spans="1:22" ht="15" customHeight="1">
      <c r="B122" s="916"/>
      <c r="C122" s="916" t="s">
        <v>934</v>
      </c>
      <c r="D122" s="916"/>
      <c r="E122" s="138"/>
      <c r="F122" s="916"/>
      <c r="H122" s="916"/>
      <c r="M122" s="916"/>
      <c r="N122" s="916"/>
      <c r="V122" s="11"/>
    </row>
    <row r="123" spans="1:22">
      <c r="B123" s="916"/>
      <c r="C123" s="916"/>
      <c r="D123" s="916"/>
      <c r="E123" s="138"/>
      <c r="F123" s="916"/>
      <c r="H123" s="916"/>
      <c r="M123" s="916"/>
      <c r="N123" s="916"/>
      <c r="V123" s="11"/>
    </row>
    <row r="124" spans="1:22" ht="15" thickBot="1">
      <c r="B124" s="916" t="s">
        <v>600</v>
      </c>
      <c r="C124" s="916" t="s">
        <v>935</v>
      </c>
      <c r="D124" s="916"/>
      <c r="E124" s="138"/>
      <c r="F124" s="916"/>
      <c r="H124" s="916"/>
      <c r="O124" s="643"/>
      <c r="V124" s="11"/>
    </row>
    <row r="125" spans="1:22" ht="15" thickTop="1">
      <c r="B125" s="916"/>
      <c r="C125" s="916" t="s">
        <v>936</v>
      </c>
      <c r="D125" s="916"/>
      <c r="E125" s="138"/>
      <c r="F125" s="1036" t="s">
        <v>261</v>
      </c>
      <c r="G125" s="1036" t="s">
        <v>293</v>
      </c>
      <c r="H125" s="916" t="s">
        <v>858</v>
      </c>
      <c r="J125" s="1418" t="s">
        <v>1009</v>
      </c>
      <c r="K125" s="1411"/>
      <c r="L125" s="1871" t="s">
        <v>1010</v>
      </c>
      <c r="M125" s="1872"/>
      <c r="O125" s="643"/>
      <c r="V125" s="11"/>
    </row>
    <row r="126" spans="1:22" ht="15" customHeight="1">
      <c r="B126" s="916"/>
      <c r="C126" s="916" t="s">
        <v>939</v>
      </c>
      <c r="D126" s="450"/>
      <c r="E126" s="985" t="s">
        <v>938</v>
      </c>
      <c r="F126" s="984">
        <f>F118/((F121*(F119/F120)) +1)</f>
        <v>0.38037914253439242</v>
      </c>
      <c r="G126" s="983">
        <f>SQRT(SUM((G118/F118)^2,(G119/F119)^2,(G120/F120)^2,(G121/F121)^2))*F126</f>
        <v>0.20230457995970752</v>
      </c>
      <c r="H126" s="450" t="s">
        <v>612</v>
      </c>
      <c r="J126" s="1419">
        <f>F120*F118</f>
        <v>0.29653811067781233</v>
      </c>
      <c r="K126" s="334">
        <f>SQRT(SUM((G118/F118)^2,(G119/F119)^2,(G120/F120)^2))*J126</f>
        <v>4.1339395429717506E-2</v>
      </c>
      <c r="L126" s="1873"/>
      <c r="M126" s="1874"/>
      <c r="O126" s="643"/>
      <c r="V126" s="11"/>
    </row>
    <row r="127" spans="1:22">
      <c r="B127" s="916"/>
      <c r="C127" s="916"/>
      <c r="D127" s="916"/>
      <c r="E127" s="138"/>
      <c r="F127" s="526"/>
      <c r="H127" s="916"/>
      <c r="J127" s="1420"/>
      <c r="K127" s="334"/>
      <c r="L127" s="1873"/>
      <c r="M127" s="1874"/>
      <c r="O127" s="643"/>
      <c r="V127" s="11"/>
    </row>
    <row r="128" spans="1:22" ht="15" customHeight="1" thickBot="1">
      <c r="B128" s="916" t="s">
        <v>601</v>
      </c>
      <c r="C128" s="916" t="s">
        <v>602</v>
      </c>
      <c r="D128" s="450"/>
      <c r="E128" s="1266" t="s">
        <v>610</v>
      </c>
      <c r="F128" s="1267">
        <f>F118-F126</f>
        <v>0.40357085746560761</v>
      </c>
      <c r="G128" s="786">
        <f>SQRT(G118^2+G126^2)</f>
        <v>0.20658174742622759</v>
      </c>
      <c r="H128" s="916"/>
      <c r="J128" s="1421">
        <f>F119*F118</f>
        <v>0.48741188932218765</v>
      </c>
      <c r="K128" s="1416">
        <f>SQRT(G118^2+K126^2)</f>
        <v>5.8803238954113303E-2</v>
      </c>
      <c r="L128" s="1875"/>
      <c r="M128" s="1876"/>
      <c r="O128" s="643"/>
      <c r="V128" s="11"/>
    </row>
    <row r="129" spans="2:22" ht="15" customHeight="1" thickTop="1">
      <c r="B129" s="916"/>
      <c r="C129" s="916"/>
      <c r="D129" s="916"/>
      <c r="E129" s="138"/>
      <c r="F129" s="916"/>
      <c r="H129" s="916"/>
      <c r="O129" s="643"/>
      <c r="V129" s="11"/>
    </row>
    <row r="130" spans="2:22">
      <c r="B130" s="916"/>
      <c r="C130" s="916"/>
      <c r="D130" s="916"/>
      <c r="E130" s="138"/>
      <c r="F130" s="916"/>
      <c r="H130" s="916"/>
      <c r="O130" s="643"/>
      <c r="V130" s="11"/>
    </row>
    <row r="131" spans="2:22">
      <c r="B131" s="916"/>
      <c r="C131" s="916"/>
      <c r="D131" s="916"/>
      <c r="E131" s="138"/>
      <c r="F131" s="916" t="s">
        <v>937</v>
      </c>
      <c r="H131" s="916"/>
      <c r="O131" s="643"/>
      <c r="V131" s="11"/>
    </row>
    <row r="132" spans="2:22" ht="15" customHeight="1">
      <c r="B132" s="916" t="s">
        <v>603</v>
      </c>
      <c r="D132" s="916" t="s">
        <v>604</v>
      </c>
      <c r="E132" s="1268">
        <f>F128</f>
        <v>0.40357085746560761</v>
      </c>
      <c r="F132" s="421">
        <f>E132/E134</f>
        <v>0.62173849011057813</v>
      </c>
      <c r="H132" s="916"/>
      <c r="N132" s="1263"/>
      <c r="O132" s="643"/>
      <c r="V132" s="11"/>
    </row>
    <row r="133" spans="2:22">
      <c r="B133" s="916"/>
      <c r="D133" s="138" t="s">
        <v>605</v>
      </c>
      <c r="E133" s="936">
        <f>F121*F126</f>
        <v>0.24552979157709734</v>
      </c>
      <c r="F133" s="421">
        <f>E133/E134</f>
        <v>0.37826150988942198</v>
      </c>
      <c r="H133" s="916"/>
      <c r="O133" s="643"/>
      <c r="V133" s="11"/>
    </row>
    <row r="134" spans="2:22">
      <c r="B134" s="916"/>
      <c r="D134" s="138" t="s">
        <v>607</v>
      </c>
      <c r="E134" s="936">
        <f>SUM(E132:E133)</f>
        <v>0.64910064904270492</v>
      </c>
      <c r="F134" s="421">
        <f>E134/E134</f>
        <v>1</v>
      </c>
      <c r="G134" s="916"/>
      <c r="H134" s="916"/>
      <c r="O134" s="643"/>
      <c r="V134" s="11"/>
    </row>
    <row r="135" spans="2:22">
      <c r="B135" s="916"/>
      <c r="C135" s="916"/>
      <c r="D135" s="916"/>
      <c r="E135" s="916"/>
      <c r="F135" s="916"/>
      <c r="G135" s="916"/>
      <c r="H135" s="916"/>
      <c r="O135" s="643"/>
      <c r="V135" s="11"/>
    </row>
    <row r="136" spans="2:22">
      <c r="B136" s="916"/>
      <c r="C136" s="916"/>
      <c r="D136" s="916"/>
      <c r="E136" s="916"/>
      <c r="F136" s="916"/>
      <c r="G136" s="916"/>
      <c r="H136" s="916"/>
    </row>
    <row r="140" spans="2:22">
      <c r="I140" s="916"/>
    </row>
    <row r="141" spans="2:22">
      <c r="I141" s="916"/>
    </row>
    <row r="142" spans="2:22">
      <c r="I142" s="916"/>
    </row>
    <row r="143" spans="2:22">
      <c r="I143" s="916"/>
    </row>
    <row r="144" spans="2:22">
      <c r="I144" s="916"/>
    </row>
    <row r="145" spans="9:9">
      <c r="I145" s="916"/>
    </row>
    <row r="146" spans="9:9">
      <c r="I146" s="916"/>
    </row>
    <row r="147" spans="9:9">
      <c r="I147" s="916"/>
    </row>
    <row r="148" spans="9:9">
      <c r="I148" s="916"/>
    </row>
    <row r="149" spans="9:9">
      <c r="I149" s="916"/>
    </row>
    <row r="150" spans="9:9">
      <c r="I150" s="916"/>
    </row>
    <row r="151" spans="9:9">
      <c r="I151" s="916"/>
    </row>
    <row r="152" spans="9:9">
      <c r="I152" s="916"/>
    </row>
    <row r="153" spans="9:9">
      <c r="I153" s="916"/>
    </row>
    <row r="154" spans="9:9">
      <c r="I154" s="916"/>
    </row>
    <row r="155" spans="9:9">
      <c r="I155" s="916"/>
    </row>
    <row r="156" spans="9:9">
      <c r="I156" s="916"/>
    </row>
    <row r="157" spans="9:9">
      <c r="I157" s="916"/>
    </row>
    <row r="158" spans="9:9">
      <c r="I158" s="916"/>
    </row>
  </sheetData>
  <customSheetViews>
    <customSheetView guid="{7E8F70E7-08A0-442B-A100-F92E13F1F337}" scale="85">
      <selection activeCell="AP23" sqref="AP23"/>
      <pageMargins left="0.7" right="0.7" top="0.75" bottom="0.75" header="0.3" footer="0.3"/>
      <pageSetup orientation="portrait" r:id="rId1"/>
    </customSheetView>
    <customSheetView guid="{52F27401-6741-4136-9223-9843499AE81D}" scale="85">
      <selection activeCell="AP23" sqref="AP23"/>
      <pageMargins left="0.7" right="0.7" top="0.75" bottom="0.75" header="0.3" footer="0.3"/>
      <pageSetup orientation="portrait" r:id="rId2"/>
    </customSheetView>
  </customSheetViews>
  <mergeCells count="94">
    <mergeCell ref="L125:M128"/>
    <mergeCell ref="H54:H55"/>
    <mergeCell ref="I54:I55"/>
    <mergeCell ref="J54:J55"/>
    <mergeCell ref="B54:B55"/>
    <mergeCell ref="C54:C55"/>
    <mergeCell ref="D54:D55"/>
    <mergeCell ref="L70:N71"/>
    <mergeCell ref="H107:J108"/>
    <mergeCell ref="A3:E3"/>
    <mergeCell ref="A4:E4"/>
    <mergeCell ref="A5:E5"/>
    <mergeCell ref="A6:E6"/>
    <mergeCell ref="A7:A24"/>
    <mergeCell ref="B7:B14"/>
    <mergeCell ref="C7:C10"/>
    <mergeCell ref="D7:E7"/>
    <mergeCell ref="D8:E8"/>
    <mergeCell ref="D9:E9"/>
    <mergeCell ref="D10:E10"/>
    <mergeCell ref="C11:C14"/>
    <mergeCell ref="D11:E11"/>
    <mergeCell ref="B15:B24"/>
    <mergeCell ref="C15:C17"/>
    <mergeCell ref="D15:D20"/>
    <mergeCell ref="C24:E24"/>
    <mergeCell ref="Q13:R13"/>
    <mergeCell ref="Q14:R14"/>
    <mergeCell ref="Q22:R22"/>
    <mergeCell ref="Q23:R23"/>
    <mergeCell ref="C18:C20"/>
    <mergeCell ref="C21:C23"/>
    <mergeCell ref="D21:E21"/>
    <mergeCell ref="D22:E22"/>
    <mergeCell ref="D23:E23"/>
    <mergeCell ref="D12:E12"/>
    <mergeCell ref="D13:E13"/>
    <mergeCell ref="D14:E14"/>
    <mergeCell ref="Q9:R9"/>
    <mergeCell ref="Q10:R10"/>
    <mergeCell ref="X15:AB15"/>
    <mergeCell ref="X16:AB16"/>
    <mergeCell ref="N3:R3"/>
    <mergeCell ref="N4:R4"/>
    <mergeCell ref="N5:R5"/>
    <mergeCell ref="N6:R6"/>
    <mergeCell ref="N7:N24"/>
    <mergeCell ref="O7:O14"/>
    <mergeCell ref="P7:P10"/>
    <mergeCell ref="Q7:R7"/>
    <mergeCell ref="Q8:R8"/>
    <mergeCell ref="P11:P14"/>
    <mergeCell ref="Q11:R11"/>
    <mergeCell ref="Q12:R12"/>
    <mergeCell ref="X3:AB3"/>
    <mergeCell ref="X7:X14"/>
    <mergeCell ref="Y7:Y8"/>
    <mergeCell ref="Y9:Y14"/>
    <mergeCell ref="Z9:Z10"/>
    <mergeCell ref="Z11:AB11"/>
    <mergeCell ref="Z12:AB12"/>
    <mergeCell ref="Z13:AB13"/>
    <mergeCell ref="Z14:AB14"/>
    <mergeCell ref="X4:AB4"/>
    <mergeCell ref="X5:AB5"/>
    <mergeCell ref="X6:AB6"/>
    <mergeCell ref="N26:R26"/>
    <mergeCell ref="O15:O24"/>
    <mergeCell ref="P15:P17"/>
    <mergeCell ref="Q15:Q20"/>
    <mergeCell ref="P18:P20"/>
    <mergeCell ref="P21:P23"/>
    <mergeCell ref="Q21:R21"/>
    <mergeCell ref="P24:R24"/>
    <mergeCell ref="X17:AB17"/>
    <mergeCell ref="X21:AB21"/>
    <mergeCell ref="X22:AB22"/>
    <mergeCell ref="X23:AB23"/>
    <mergeCell ref="N25:R25"/>
    <mergeCell ref="A114:F114"/>
    <mergeCell ref="A89:B89"/>
    <mergeCell ref="A103:B103"/>
    <mergeCell ref="A107:F107"/>
    <mergeCell ref="A93:F93"/>
    <mergeCell ref="A94:A95"/>
    <mergeCell ref="B94:B95"/>
    <mergeCell ref="E94:E95"/>
    <mergeCell ref="A99:F99"/>
    <mergeCell ref="P107:R108"/>
    <mergeCell ref="L107:N108"/>
    <mergeCell ref="T107:V108"/>
    <mergeCell ref="A108:A109"/>
    <mergeCell ref="B108:B109"/>
    <mergeCell ref="E108:E109"/>
  </mergeCell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23"/>
  <sheetViews>
    <sheetView workbookViewId="0">
      <selection activeCell="P14" sqref="P14"/>
    </sheetView>
  </sheetViews>
  <sheetFormatPr defaultRowHeight="14.4"/>
  <cols>
    <col min="4" max="4" width="24.109375" customWidth="1"/>
    <col min="5" max="5" width="21.44140625" customWidth="1"/>
    <col min="7" max="7" width="10" bestFit="1" customWidth="1"/>
    <col min="8" max="8" width="12" bestFit="1" customWidth="1"/>
    <col min="12" max="12" width="8.44140625" bestFit="1" customWidth="1"/>
    <col min="13" max="13" width="12.109375" bestFit="1" customWidth="1"/>
    <col min="14" max="14" width="9" bestFit="1" customWidth="1"/>
    <col min="15" max="15" width="13.109375" bestFit="1" customWidth="1"/>
    <col min="16" max="16" width="12.5546875" customWidth="1"/>
    <col min="17" max="17" width="13" customWidth="1"/>
  </cols>
  <sheetData>
    <row r="3" spans="1:17" ht="15" thickBot="1">
      <c r="A3" t="s">
        <v>19</v>
      </c>
    </row>
    <row r="4" spans="1:17" ht="20.25" customHeight="1">
      <c r="A4" s="6" t="s">
        <v>20</v>
      </c>
      <c r="B4" s="7" t="s">
        <v>21</v>
      </c>
      <c r="C4" s="7" t="s">
        <v>22</v>
      </c>
      <c r="D4" s="187" t="s">
        <v>23</v>
      </c>
      <c r="E4" s="187" t="s">
        <v>24</v>
      </c>
      <c r="F4" s="396" t="s">
        <v>210</v>
      </c>
    </row>
    <row r="5" spans="1:17">
      <c r="A5" s="8"/>
      <c r="B5" s="5">
        <v>0</v>
      </c>
      <c r="C5" s="5">
        <v>62889</v>
      </c>
      <c r="D5" s="188">
        <v>62889</v>
      </c>
      <c r="E5" s="188">
        <v>45175100</v>
      </c>
      <c r="G5" t="s">
        <v>241</v>
      </c>
      <c r="H5" t="s">
        <v>128</v>
      </c>
    </row>
    <row r="6" spans="1:17" ht="15" thickBot="1">
      <c r="A6" s="8" t="s">
        <v>25</v>
      </c>
      <c r="B6" s="5">
        <v>1</v>
      </c>
      <c r="C6" s="5">
        <v>7147</v>
      </c>
      <c r="D6" s="188">
        <v>7147</v>
      </c>
      <c r="E6" s="188">
        <v>4037308</v>
      </c>
      <c r="H6" s="186">
        <f>D6*'All IOU FRZ NTG'!AS28</f>
        <v>4121627.6042457339</v>
      </c>
    </row>
    <row r="7" spans="1:17" ht="51" thickBot="1">
      <c r="A7" s="9" t="s">
        <v>26</v>
      </c>
      <c r="B7" s="10">
        <v>1</v>
      </c>
      <c r="C7" s="10">
        <v>55742</v>
      </c>
      <c r="D7" s="189">
        <v>55742</v>
      </c>
      <c r="E7" s="189">
        <v>41137792</v>
      </c>
      <c r="H7" s="186" t="e">
        <f>D7*'PGE REF NTG'!#REF!</f>
        <v>#REF!</v>
      </c>
      <c r="L7" s="508" t="s">
        <v>0</v>
      </c>
      <c r="M7" s="1045" t="s">
        <v>332</v>
      </c>
      <c r="N7" s="1045" t="s">
        <v>333</v>
      </c>
      <c r="O7" s="1045" t="s">
        <v>632</v>
      </c>
      <c r="P7" s="1045" t="s">
        <v>633</v>
      </c>
      <c r="Q7" s="1045" t="s">
        <v>795</v>
      </c>
    </row>
    <row r="8" spans="1:17" ht="15" thickBot="1">
      <c r="L8" s="1570" t="s">
        <v>256</v>
      </c>
      <c r="M8" s="510" t="s">
        <v>101</v>
      </c>
      <c r="N8" s="511">
        <v>55742</v>
      </c>
      <c r="O8" s="511">
        <v>41137792</v>
      </c>
      <c r="P8" s="511">
        <v>9141</v>
      </c>
      <c r="Q8" s="511">
        <v>-414597</v>
      </c>
    </row>
    <row r="9" spans="1:17" ht="15" thickBot="1">
      <c r="L9" s="1877"/>
      <c r="M9" s="510" t="s">
        <v>25</v>
      </c>
      <c r="N9" s="511">
        <v>7147</v>
      </c>
      <c r="O9" s="511">
        <v>4037308</v>
      </c>
      <c r="P9" s="512">
        <v>942</v>
      </c>
      <c r="Q9" s="511">
        <v>-22972</v>
      </c>
    </row>
    <row r="10" spans="1:17" ht="15" thickBot="1">
      <c r="L10" s="1571"/>
      <c r="M10" s="510" t="s">
        <v>334</v>
      </c>
      <c r="N10" s="512">
        <v>815</v>
      </c>
      <c r="O10" s="511">
        <v>35352</v>
      </c>
      <c r="P10" s="512">
        <v>36</v>
      </c>
      <c r="Q10" s="512">
        <v>0</v>
      </c>
    </row>
    <row r="11" spans="1:17" ht="15" thickBot="1">
      <c r="A11" s="11" t="s">
        <v>29</v>
      </c>
      <c r="L11" s="1570" t="s">
        <v>18</v>
      </c>
      <c r="M11" s="510" t="s">
        <v>101</v>
      </c>
      <c r="N11" s="511">
        <v>183225</v>
      </c>
      <c r="O11" s="511">
        <v>153059770</v>
      </c>
      <c r="P11" s="511">
        <v>29641</v>
      </c>
      <c r="Q11" s="511">
        <v>-3214568</v>
      </c>
    </row>
    <row r="12" spans="1:17" ht="18" customHeight="1" thickBot="1">
      <c r="A12" s="13" t="s">
        <v>20</v>
      </c>
      <c r="B12" s="14" t="s">
        <v>21</v>
      </c>
      <c r="C12" s="14" t="s">
        <v>22</v>
      </c>
      <c r="D12" s="190" t="s">
        <v>27</v>
      </c>
      <c r="E12" s="15" t="s">
        <v>24</v>
      </c>
      <c r="L12" s="1571"/>
      <c r="M12" s="510" t="s">
        <v>25</v>
      </c>
      <c r="N12" s="511">
        <v>15551</v>
      </c>
      <c r="O12" s="511">
        <v>14975072</v>
      </c>
      <c r="P12" s="511">
        <v>2958</v>
      </c>
      <c r="Q12" s="511">
        <v>-301119</v>
      </c>
    </row>
    <row r="13" spans="1:17" ht="15" thickBot="1">
      <c r="A13" s="16"/>
      <c r="B13" s="12">
        <v>0</v>
      </c>
      <c r="C13" s="12">
        <v>198776</v>
      </c>
      <c r="D13" s="191">
        <v>198776</v>
      </c>
      <c r="E13" s="188">
        <v>168034841.55000001</v>
      </c>
      <c r="L13" s="1570" t="s">
        <v>257</v>
      </c>
      <c r="M13" s="510" t="s">
        <v>101</v>
      </c>
      <c r="N13" s="511">
        <v>40893</v>
      </c>
      <c r="O13" s="511">
        <v>39149035</v>
      </c>
      <c r="P13" s="511">
        <v>6090</v>
      </c>
      <c r="Q13" s="511">
        <v>-386649</v>
      </c>
    </row>
    <row r="14" spans="1:17" ht="15" thickBot="1">
      <c r="A14" s="16" t="s">
        <v>25</v>
      </c>
      <c r="B14" s="12">
        <v>1</v>
      </c>
      <c r="C14" s="12">
        <v>15511</v>
      </c>
      <c r="D14" s="188">
        <v>15511</v>
      </c>
      <c r="E14" s="188">
        <v>14936756.49</v>
      </c>
      <c r="H14" s="186">
        <f>D14*'All IOU FRZ NTG'!AS28</f>
        <v>8945091.054911932</v>
      </c>
      <c r="L14" s="1877"/>
      <c r="M14" s="510" t="s">
        <v>25</v>
      </c>
      <c r="N14" s="511">
        <v>4420</v>
      </c>
      <c r="O14" s="511">
        <v>3181047</v>
      </c>
      <c r="P14" s="512">
        <v>495</v>
      </c>
      <c r="Q14" s="511">
        <v>-21995</v>
      </c>
    </row>
    <row r="15" spans="1:17" ht="15" thickBot="1">
      <c r="A15" s="16" t="s">
        <v>28</v>
      </c>
      <c r="B15" s="12">
        <v>1</v>
      </c>
      <c r="C15" s="12">
        <v>40</v>
      </c>
      <c r="D15" s="188">
        <v>40</v>
      </c>
      <c r="E15" s="188">
        <v>38315.360000000001</v>
      </c>
      <c r="H15">
        <f>D15*'SCE REF NTG'!AW37</f>
        <v>863242.5799315914</v>
      </c>
      <c r="L15" s="1571"/>
      <c r="M15" s="510" t="s">
        <v>334</v>
      </c>
      <c r="N15" s="512">
        <v>744</v>
      </c>
      <c r="O15" s="512" t="s">
        <v>335</v>
      </c>
      <c r="P15" s="512" t="s">
        <v>335</v>
      </c>
      <c r="Q15" s="511">
        <v>140058</v>
      </c>
    </row>
    <row r="16" spans="1:17" ht="15" thickBot="1">
      <c r="A16" s="17" t="s">
        <v>26</v>
      </c>
      <c r="B16" s="18">
        <v>1</v>
      </c>
      <c r="C16" s="18">
        <v>183225</v>
      </c>
      <c r="D16" s="189">
        <v>183225</v>
      </c>
      <c r="E16" s="189">
        <v>153059769.69999999</v>
      </c>
      <c r="H16" s="186">
        <f>D16*'SCE REF NTG'!AW37</f>
        <v>3954190542.6991463</v>
      </c>
      <c r="L16" s="1621" t="s">
        <v>5</v>
      </c>
      <c r="M16" s="510" t="s">
        <v>101</v>
      </c>
      <c r="N16" s="511">
        <v>279860</v>
      </c>
      <c r="O16" s="511">
        <v>233346597</v>
      </c>
      <c r="P16" s="511">
        <v>44872</v>
      </c>
      <c r="Q16" s="511">
        <v>-4015814</v>
      </c>
    </row>
    <row r="17" spans="1:17" ht="15" thickBot="1">
      <c r="L17" s="1622"/>
      <c r="M17" s="510" t="s">
        <v>25</v>
      </c>
      <c r="N17" s="511">
        <v>27118</v>
      </c>
      <c r="O17" s="511">
        <v>22193427</v>
      </c>
      <c r="P17" s="511">
        <v>4395</v>
      </c>
      <c r="Q17" s="511">
        <v>-346086</v>
      </c>
    </row>
    <row r="18" spans="1:17" ht="15" thickBot="1">
      <c r="L18" s="1623"/>
      <c r="M18" s="510" t="s">
        <v>334</v>
      </c>
      <c r="N18" s="511">
        <v>1559</v>
      </c>
      <c r="O18" s="511">
        <v>35352</v>
      </c>
      <c r="P18" s="512">
        <v>36</v>
      </c>
      <c r="Q18" s="511">
        <v>140058</v>
      </c>
    </row>
    <row r="19" spans="1:17" ht="15" thickBot="1">
      <c r="A19" s="4" t="s">
        <v>30</v>
      </c>
    </row>
    <row r="20" spans="1:17" ht="28.8">
      <c r="A20" s="20" t="s">
        <v>20</v>
      </c>
      <c r="B20" s="21" t="s">
        <v>21</v>
      </c>
      <c r="C20" s="21" t="s">
        <v>22</v>
      </c>
      <c r="D20" s="21" t="s">
        <v>27</v>
      </c>
      <c r="E20" s="22" t="s">
        <v>24</v>
      </c>
    </row>
    <row r="21" spans="1:17">
      <c r="A21" s="23"/>
      <c r="B21" s="19">
        <v>0</v>
      </c>
      <c r="C21" s="19">
        <v>43227</v>
      </c>
      <c r="D21" s="19">
        <v>43227</v>
      </c>
      <c r="E21" s="24">
        <v>38030877.560000002</v>
      </c>
    </row>
    <row r="22" spans="1:17">
      <c r="A22" s="23" t="s">
        <v>25</v>
      </c>
      <c r="B22" s="19">
        <v>1</v>
      </c>
      <c r="C22" s="19">
        <v>4213</v>
      </c>
      <c r="D22" s="19">
        <v>4213</v>
      </c>
      <c r="E22" s="24">
        <v>2894064.7</v>
      </c>
      <c r="H22" s="186">
        <f>D22*'All IOU FRZ NTG'!AS28</f>
        <v>2429609.2201885097</v>
      </c>
    </row>
    <row r="23" spans="1:17" ht="15" thickBot="1">
      <c r="A23" s="25" t="s">
        <v>26</v>
      </c>
      <c r="B23" s="26">
        <v>1</v>
      </c>
      <c r="C23" s="26">
        <v>39014</v>
      </c>
      <c r="D23" s="26">
        <v>39014</v>
      </c>
      <c r="E23" s="27">
        <v>35136812.859999999</v>
      </c>
      <c r="H23" s="186">
        <f>D23*'SDGE REF NTG'!AT37</f>
        <v>0</v>
      </c>
    </row>
  </sheetData>
  <customSheetViews>
    <customSheetView guid="{7E8F70E7-08A0-442B-A100-F92E13F1F337}">
      <selection activeCell="A19" sqref="A19"/>
      <pageMargins left="0.7" right="0.7" top="0.75" bottom="0.75" header="0.3" footer="0.3"/>
    </customSheetView>
    <customSheetView guid="{223C1DCA-941C-47FC-83AC-426B3DB3086A}">
      <selection activeCell="M22" sqref="M22"/>
      <pageMargins left="0.7" right="0.7" top="0.75" bottom="0.75" header="0.3" footer="0.3"/>
    </customSheetView>
    <customSheetView guid="{BA0BA4AB-C6A1-41FF-8782-C05227E92BEB}">
      <selection activeCell="A19" sqref="A19"/>
      <pageMargins left="0.7" right="0.7" top="0.75" bottom="0.75" header="0.3" footer="0.3"/>
    </customSheetView>
    <customSheetView guid="{52F27401-6741-4136-9223-9843499AE81D}">
      <selection activeCell="M20" sqref="M20"/>
      <pageMargins left="0.7" right="0.7" top="0.75" bottom="0.75" header="0.3" footer="0.3"/>
    </customSheetView>
  </customSheetViews>
  <mergeCells count="4">
    <mergeCell ref="L8:L10"/>
    <mergeCell ref="L11:L12"/>
    <mergeCell ref="L13:L15"/>
    <mergeCell ref="L16:L1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48</vt:i4>
      </vt:variant>
    </vt:vector>
  </HeadingPairs>
  <TitlesOfParts>
    <vt:vector size="71" baseType="lpstr">
      <vt:lpstr>StatewideSummary Tables</vt:lpstr>
      <vt:lpstr>Statewide Ref Dispostion</vt:lpstr>
      <vt:lpstr>Statewide PGE REF NTG</vt:lpstr>
      <vt:lpstr>Statewide SCE REF NTG</vt:lpstr>
      <vt:lpstr>Statewide SDGE REF NTG</vt:lpstr>
      <vt:lpstr>All IOU FRZ NTG</vt:lpstr>
      <vt:lpstr>SecMktProportions</vt:lpstr>
      <vt:lpstr>SecMktVolume</vt:lpstr>
      <vt:lpstr>Program_Claims</vt:lpstr>
      <vt:lpstr>kW Claims</vt:lpstr>
      <vt:lpstr>Gross UECs</vt:lpstr>
      <vt:lpstr>Part Keep-Discard</vt:lpstr>
      <vt:lpstr>Part KIU-KU</vt:lpstr>
      <vt:lpstr>Discarder Disposition</vt:lpstr>
      <vt:lpstr>P2P CF if Unit not available</vt:lpstr>
      <vt:lpstr>Ret CF if Unit not available</vt:lpstr>
      <vt:lpstr>Census to IOU</vt:lpstr>
      <vt:lpstr>Part_Sample Targets &amp; Completes</vt:lpstr>
      <vt:lpstr>Verification</vt:lpstr>
      <vt:lpstr>Summary Tables</vt:lpstr>
      <vt:lpstr>PGE REF NTG</vt:lpstr>
      <vt:lpstr>SCE REF NTG</vt:lpstr>
      <vt:lpstr>SDGE REF NTG</vt:lpstr>
      <vt:lpstr>'Gross UECs'!_Ref386027282</vt:lpstr>
      <vt:lpstr>'StatewideSummary Tables'!_Ref387161881</vt:lpstr>
      <vt:lpstr>'StatewideSummary Tables'!_Ref391224239</vt:lpstr>
      <vt:lpstr>'StatewideSummary Tables'!_Ref391230913</vt:lpstr>
      <vt:lpstr>'PGE REF NTG'!_Ref391230914</vt:lpstr>
      <vt:lpstr>'Statewide PGE REF NTG'!_Ref391230914</vt:lpstr>
      <vt:lpstr>'Statewide Ref Dispostion'!_Ref391230914</vt:lpstr>
      <vt:lpstr>'StatewideSummary Tables'!_Ref391230916</vt:lpstr>
      <vt:lpstr>'StatewideSummary Tables'!_Ref391231277</vt:lpstr>
      <vt:lpstr>'StatewideSummary Tables'!_Ref391286819</vt:lpstr>
      <vt:lpstr>'StatewideSummary Tables'!_Ref391287871</vt:lpstr>
      <vt:lpstr>'StatewideSummary Tables'!_Ref391288307</vt:lpstr>
      <vt:lpstr>'StatewideSummary Tables'!_Ref391288317</vt:lpstr>
      <vt:lpstr>'StatewideSummary Tables'!_Ref391288385</vt:lpstr>
      <vt:lpstr>'StatewideSummary Tables'!_Ref391288668</vt:lpstr>
      <vt:lpstr>'StatewideSummary Tables'!_Ref391288737</vt:lpstr>
      <vt:lpstr>'StatewideSummary Tables'!_Ref391293815</vt:lpstr>
      <vt:lpstr>'StatewideSummary Tables'!_Ref391393733</vt:lpstr>
      <vt:lpstr>'StatewideSummary Tables'!_Ref391408721</vt:lpstr>
      <vt:lpstr>'StatewideSummary Tables'!_Ref391408761</vt:lpstr>
      <vt:lpstr>'StatewideSummary Tables'!_Ref391557517</vt:lpstr>
      <vt:lpstr>'StatewideSummary Tables'!_Ref391557719</vt:lpstr>
      <vt:lpstr>'Summary Tables'!_Ref391557719</vt:lpstr>
      <vt:lpstr>'StatewideSummary Tables'!_Ref391575357</vt:lpstr>
      <vt:lpstr>'StatewideSummary Tables'!_Ref391652901</vt:lpstr>
      <vt:lpstr>'PGE REF NTG'!_Ref391653005</vt:lpstr>
      <vt:lpstr>'Statewide Ref Dispostion'!_Ref391653005</vt:lpstr>
      <vt:lpstr>'Summary Tables'!_Ref391653199</vt:lpstr>
      <vt:lpstr>'StatewideSummary Tables'!_Ref391911211</vt:lpstr>
      <vt:lpstr>'StatewideSummary Tables'!_Ref391911221</vt:lpstr>
      <vt:lpstr>'StatewideSummary Tables'!_Ref391911244</vt:lpstr>
      <vt:lpstr>'StatewideSummary Tables'!_Ref391911281</vt:lpstr>
      <vt:lpstr>'StatewideSummary Tables'!_Ref391912202</vt:lpstr>
      <vt:lpstr>'Summary Tables'!_Ref391912202</vt:lpstr>
      <vt:lpstr>'StatewideSummary Tables'!_Ref391915637</vt:lpstr>
      <vt:lpstr>'Summary Tables'!_Ref391915637</vt:lpstr>
      <vt:lpstr>'StatewideSummary Tables'!_Ref391982928</vt:lpstr>
      <vt:lpstr>'StatewideSummary Tables'!_Ref392151901</vt:lpstr>
      <vt:lpstr>'Summary Tables'!_Ref392158404</vt:lpstr>
      <vt:lpstr>'StatewideSummary Tables'!_Ref393302761</vt:lpstr>
      <vt:lpstr>'StatewideSummary Tables'!_Ref393302938</vt:lpstr>
      <vt:lpstr>'Summary Tables'!_Ref393303152</vt:lpstr>
      <vt:lpstr>'Summary Tables'!_Ref393303206</vt:lpstr>
      <vt:lpstr>'StatewideSummary Tables'!_Ref397877620</vt:lpstr>
      <vt:lpstr>'kW Claims'!_Toc396163385</vt:lpstr>
      <vt:lpstr>'StatewideSummary Tables'!_Toc397940858</vt:lpstr>
      <vt:lpstr>'StatewideSummary Tables'!_Toc397940859</vt:lpstr>
      <vt:lpstr>'Part Keep-Discard'!IDX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Pinckard, Margaret</dc:creator>
  <cp:lastModifiedBy>James J. Hirsch</cp:lastModifiedBy>
  <cp:lastPrinted>2014-09-04T18:01:33Z</cp:lastPrinted>
  <dcterms:created xsi:type="dcterms:W3CDTF">2014-05-14T23:02:26Z</dcterms:created>
  <dcterms:modified xsi:type="dcterms:W3CDTF">2015-10-20T16:38:40Z</dcterms:modified>
</cp:coreProperties>
</file>