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codeName="ThisWorkbook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1c6\AC\Temp\"/>
    </mc:Choice>
  </mc:AlternateContent>
  <xr:revisionPtr revIDLastSave="0" documentId="8_{247FAB50-15ED-4D81-9CB6-6ABA4C2212CA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tro" sheetId="9" r:id="rId1"/>
    <sheet name="CostModel Coef" sheetId="7" r:id="rId2"/>
    <sheet name="WaterHeater Technology" sheetId="1" r:id="rId3"/>
    <sheet name="MeasureCost" sheetId="5" r:id="rId4"/>
    <sheet name="Measure" sheetId="8" r:id="rId5"/>
  </sheets>
  <definedNames>
    <definedName name="_xlnm._FilterDatabase" localSheetId="4" hidden="1">Measure!$A$7:$AV$7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0" i="5" l="1"/>
  <c r="AG19" i="5"/>
  <c r="AG18" i="5"/>
  <c r="AG17" i="5"/>
  <c r="AG16" i="5"/>
  <c r="AG15" i="5"/>
  <c r="AG14" i="5"/>
  <c r="AG13" i="5"/>
  <c r="AG12" i="5"/>
  <c r="AG11" i="5"/>
  <c r="AG10" i="5"/>
  <c r="AG9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L8" i="5"/>
  <c r="M7" i="5"/>
  <c r="L7" i="5"/>
  <c r="Y21" i="8"/>
  <c r="Y20" i="8"/>
  <c r="Y19" i="8"/>
  <c r="Y18" i="8"/>
  <c r="Y17" i="8"/>
  <c r="Y16" i="8"/>
  <c r="Y10" i="8"/>
  <c r="Y8" i="8"/>
  <c r="X21" i="8"/>
  <c r="X20" i="8"/>
  <c r="X19" i="8"/>
  <c r="X18" i="8"/>
  <c r="X17" i="8"/>
  <c r="X16" i="8"/>
  <c r="X15" i="8"/>
  <c r="X12" i="8"/>
  <c r="U103" i="1"/>
  <c r="U102" i="1"/>
  <c r="U101" i="1"/>
  <c r="U100" i="1"/>
  <c r="U99" i="1"/>
  <c r="U98" i="1"/>
  <c r="U97" i="1"/>
  <c r="U96" i="1"/>
  <c r="U95" i="1"/>
  <c r="U94" i="1"/>
  <c r="U93" i="1"/>
  <c r="U91" i="1"/>
  <c r="U90" i="1"/>
  <c r="U86" i="1"/>
  <c r="U67" i="1"/>
  <c r="U58" i="1"/>
  <c r="Y20" i="5" s="1"/>
  <c r="U57" i="1"/>
  <c r="U56" i="1"/>
  <c r="Y19" i="5" s="1"/>
  <c r="U55" i="1"/>
  <c r="Y18" i="5" s="1"/>
  <c r="U54" i="1"/>
  <c r="U53" i="1"/>
  <c r="Y17" i="5" s="1"/>
  <c r="U52" i="1"/>
  <c r="Y16" i="5" s="1"/>
  <c r="U51" i="1"/>
  <c r="Y15" i="5" s="1"/>
  <c r="U50" i="1"/>
  <c r="U49" i="1"/>
  <c r="Y14" i="5" s="1"/>
  <c r="U48" i="1"/>
  <c r="Y13" i="5" s="1"/>
  <c r="U47" i="1"/>
  <c r="Y12" i="5" s="1"/>
  <c r="U46" i="1"/>
  <c r="U45" i="1"/>
  <c r="Y11" i="5" s="1"/>
  <c r="U44" i="1"/>
  <c r="Y10" i="5" s="1"/>
  <c r="U43" i="1"/>
  <c r="Y9" i="5" s="1"/>
  <c r="U42" i="1"/>
  <c r="L6" i="5"/>
  <c r="M6" i="5"/>
  <c r="S33" i="1"/>
  <c r="U33" i="1"/>
  <c r="S32" i="1"/>
  <c r="U32" i="1"/>
  <c r="S31" i="1"/>
  <c r="U31" i="1"/>
  <c r="S30" i="1"/>
  <c r="U30" i="1"/>
  <c r="S29" i="1"/>
  <c r="U29" i="1"/>
  <c r="S28" i="1"/>
  <c r="U28" i="1"/>
  <c r="S27" i="1"/>
  <c r="U27" i="1"/>
  <c r="S26" i="1"/>
  <c r="U26" i="1"/>
  <c r="S25" i="1"/>
  <c r="U25" i="1"/>
  <c r="S24" i="1"/>
  <c r="U24" i="1"/>
  <c r="S23" i="1"/>
  <c r="U23" i="1"/>
  <c r="S22" i="1"/>
  <c r="U22" i="1"/>
  <c r="S21" i="1"/>
  <c r="U21" i="1"/>
  <c r="S20" i="1"/>
  <c r="U20" i="1"/>
  <c r="S19" i="1"/>
  <c r="U19" i="1"/>
  <c r="S10" i="1"/>
  <c r="S9" i="1"/>
  <c r="AG7" i="5" s="1"/>
  <c r="U9" i="1"/>
  <c r="Y7" i="5" s="1"/>
  <c r="S8" i="1"/>
  <c r="U8" i="1"/>
  <c r="Y6" i="5" s="1"/>
  <c r="R103" i="1"/>
  <c r="R102" i="1"/>
  <c r="R101" i="1"/>
  <c r="R100" i="1"/>
  <c r="R99" i="1"/>
  <c r="R98" i="1"/>
  <c r="R97" i="1"/>
  <c r="R96" i="1"/>
  <c r="R95" i="1"/>
  <c r="R94" i="1"/>
  <c r="R93" i="1"/>
  <c r="R92" i="1"/>
  <c r="L50" i="5" s="1"/>
  <c r="S92" i="1"/>
  <c r="AG50" i="5" s="1"/>
  <c r="U92" i="1"/>
  <c r="Y50" i="5" s="1"/>
  <c r="R91" i="1"/>
  <c r="R90" i="1"/>
  <c r="R89" i="1"/>
  <c r="R88" i="1"/>
  <c r="R87" i="1"/>
  <c r="L47" i="5" s="1"/>
  <c r="S87" i="1"/>
  <c r="AG47" i="5" s="1"/>
  <c r="U87" i="1"/>
  <c r="Y47" i="5" s="1"/>
  <c r="R86" i="1"/>
  <c r="R85" i="1"/>
  <c r="L46" i="5" s="1"/>
  <c r="S85" i="1"/>
  <c r="AG46" i="5" s="1"/>
  <c r="U85" i="1"/>
  <c r="Y46" i="5" s="1"/>
  <c r="R84" i="1"/>
  <c r="L45" i="5" s="1"/>
  <c r="S84" i="1"/>
  <c r="AG45" i="5" s="1"/>
  <c r="U84" i="1"/>
  <c r="Y45" i="5" s="1"/>
  <c r="R83" i="1"/>
  <c r="L44" i="5" s="1"/>
  <c r="S83" i="1"/>
  <c r="AG44" i="5" s="1"/>
  <c r="U83" i="1"/>
  <c r="Y44" i="5" s="1"/>
  <c r="R82" i="1"/>
  <c r="R81" i="1"/>
  <c r="L42" i="5" s="1"/>
  <c r="S81" i="1"/>
  <c r="U81" i="1"/>
  <c r="Y42" i="5" s="1"/>
  <c r="R80" i="1"/>
  <c r="L41" i="5" s="1"/>
  <c r="S80" i="1"/>
  <c r="AG41" i="5" s="1"/>
  <c r="U80" i="1"/>
  <c r="Y41" i="5" s="1"/>
  <c r="R79" i="1"/>
  <c r="R78" i="1"/>
  <c r="L39" i="5" s="1"/>
  <c r="S78" i="1"/>
  <c r="U78" i="1"/>
  <c r="Y39" i="5" s="1"/>
  <c r="R77" i="1"/>
  <c r="L38" i="5" s="1"/>
  <c r="S77" i="1"/>
  <c r="AG38" i="5" s="1"/>
  <c r="U77" i="1"/>
  <c r="Y38" i="5" s="1"/>
  <c r="R76" i="1"/>
  <c r="L37" i="5" s="1"/>
  <c r="S76" i="1"/>
  <c r="AG37" i="5" s="1"/>
  <c r="U76" i="1"/>
  <c r="Y37" i="5" s="1"/>
  <c r="R75" i="1"/>
  <c r="L36" i="5" s="1"/>
  <c r="S75" i="1"/>
  <c r="AG36" i="5" s="1"/>
  <c r="U75" i="1"/>
  <c r="Y36" i="5" s="1"/>
  <c r="R74" i="1"/>
  <c r="R73" i="1"/>
  <c r="L34" i="5" s="1"/>
  <c r="S73" i="1"/>
  <c r="AG34" i="5" s="1"/>
  <c r="U73" i="1"/>
  <c r="Y34" i="5" s="1"/>
  <c r="R72" i="1"/>
  <c r="L33" i="5" s="1"/>
  <c r="S72" i="1"/>
  <c r="U72" i="1"/>
  <c r="Y33" i="5" s="1"/>
  <c r="R71" i="1"/>
  <c r="R70" i="1"/>
  <c r="L31" i="5" s="1"/>
  <c r="S70" i="1"/>
  <c r="AG31" i="5" s="1"/>
  <c r="U70" i="1"/>
  <c r="Y31" i="5" s="1"/>
  <c r="R69" i="1"/>
  <c r="L30" i="5" s="1"/>
  <c r="S69" i="1"/>
  <c r="AG30" i="5" s="1"/>
  <c r="U69" i="1"/>
  <c r="Y30" i="5" s="1"/>
  <c r="R68" i="1"/>
  <c r="L29" i="5" s="1"/>
  <c r="S68" i="1"/>
  <c r="AG29" i="5" s="1"/>
  <c r="U68" i="1"/>
  <c r="Y29" i="5" s="1"/>
  <c r="R67" i="1"/>
  <c r="R66" i="1"/>
  <c r="R65" i="1"/>
  <c r="R64" i="1"/>
  <c r="L26" i="5" s="1"/>
  <c r="S64" i="1"/>
  <c r="U64" i="1"/>
  <c r="Y26" i="5" s="1"/>
  <c r="R63" i="1"/>
  <c r="L25" i="5" s="1"/>
  <c r="S63" i="1"/>
  <c r="AG25" i="5" s="1"/>
  <c r="U63" i="1"/>
  <c r="Y25" i="5" s="1"/>
  <c r="R62" i="1"/>
  <c r="L24" i="5" s="1"/>
  <c r="S62" i="1"/>
  <c r="AG24" i="5" s="1"/>
  <c r="U62" i="1"/>
  <c r="Y24" i="5" s="1"/>
  <c r="R61" i="1"/>
  <c r="L23" i="5" s="1"/>
  <c r="S61" i="1"/>
  <c r="AG23" i="5" s="1"/>
  <c r="U61" i="1"/>
  <c r="Y23" i="5" s="1"/>
  <c r="R60" i="1"/>
  <c r="L22" i="5" s="1"/>
  <c r="S60" i="1"/>
  <c r="AG22" i="5" s="1"/>
  <c r="U60" i="1"/>
  <c r="Y22" i="5" s="1"/>
  <c r="R59" i="1"/>
  <c r="L21" i="5" s="1"/>
  <c r="S59" i="1"/>
  <c r="AG21" i="5" s="1"/>
  <c r="U59" i="1"/>
  <c r="Y21" i="5" s="1"/>
  <c r="R58" i="1"/>
  <c r="L20" i="5" s="1"/>
  <c r="R57" i="1"/>
  <c r="R56" i="1"/>
  <c r="L19" i="5" s="1"/>
  <c r="R55" i="1"/>
  <c r="L18" i="5" s="1"/>
  <c r="R54" i="1"/>
  <c r="R53" i="1"/>
  <c r="L17" i="5" s="1"/>
  <c r="R52" i="1"/>
  <c r="L16" i="5" s="1"/>
  <c r="R51" i="1"/>
  <c r="L15" i="5" s="1"/>
  <c r="R50" i="1"/>
  <c r="R49" i="1"/>
  <c r="L14" i="5" s="1"/>
  <c r="R48" i="1"/>
  <c r="L13" i="5" s="1"/>
  <c r="R47" i="1"/>
  <c r="L12" i="5" s="1"/>
  <c r="R46" i="1"/>
  <c r="R45" i="1"/>
  <c r="L11" i="5" s="1"/>
  <c r="R44" i="1"/>
  <c r="L10" i="5" s="1"/>
  <c r="R43" i="1"/>
  <c r="L9" i="5" s="1"/>
  <c r="R42" i="1"/>
  <c r="AG26" i="5" l="1"/>
  <c r="Y12" i="8"/>
  <c r="L27" i="5"/>
  <c r="S65" i="1"/>
  <c r="L28" i="5"/>
  <c r="S66" i="1"/>
  <c r="L32" i="5"/>
  <c r="S71" i="1"/>
  <c r="AG33" i="5"/>
  <c r="Y14" i="8"/>
  <c r="Y13" i="8"/>
  <c r="Y11" i="8"/>
  <c r="Y9" i="8"/>
  <c r="L35" i="5"/>
  <c r="S74" i="1"/>
  <c r="AG39" i="5"/>
  <c r="X14" i="8"/>
  <c r="L40" i="5"/>
  <c r="S79" i="1"/>
  <c r="AG42" i="5"/>
  <c r="Y15" i="8"/>
  <c r="L43" i="5"/>
  <c r="S82" i="1"/>
  <c r="L48" i="5"/>
  <c r="S88" i="1"/>
  <c r="L49" i="5"/>
  <c r="S89" i="1"/>
  <c r="AG6" i="5"/>
  <c r="X9" i="8"/>
  <c r="X8" i="8"/>
  <c r="AG8" i="5"/>
  <c r="X11" i="8"/>
  <c r="X10" i="8"/>
  <c r="U10" i="1"/>
  <c r="Y8" i="5" s="1"/>
  <c r="AG49" i="5" l="1"/>
  <c r="U89" i="1"/>
  <c r="Y49" i="5" s="1"/>
  <c r="AG48" i="5"/>
  <c r="U88" i="1"/>
  <c r="Y48" i="5" s="1"/>
  <c r="AG43" i="5"/>
  <c r="U82" i="1"/>
  <c r="Y43" i="5" s="1"/>
  <c r="AG40" i="5"/>
  <c r="U79" i="1"/>
  <c r="Y40" i="5" s="1"/>
  <c r="AG35" i="5"/>
  <c r="X13" i="8"/>
  <c r="U74" i="1"/>
  <c r="Y35" i="5" s="1"/>
  <c r="AG32" i="5"/>
  <c r="U71" i="1"/>
  <c r="Y32" i="5" s="1"/>
  <c r="AG28" i="5"/>
  <c r="U66" i="1"/>
  <c r="Y28" i="5" s="1"/>
  <c r="AG27" i="5"/>
  <c r="U65" i="1"/>
  <c r="Y2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Reeves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converted to consistent units (EF instead of EF*100).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Reeves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for records that specify a TechID, the cost Description is taken from the technology</t>
        </r>
      </text>
    </comment>
  </commentList>
</comments>
</file>

<file path=xl/sharedStrings.xml><?xml version="1.0" encoding="utf-8"?>
<sst xmlns="http://schemas.openxmlformats.org/spreadsheetml/2006/main" count="1950" uniqueCount="370">
  <si>
    <t>DEER Residential Water Heater Technology Cost Development</t>
  </si>
  <si>
    <t>8/31/2015</t>
  </si>
  <si>
    <t>This workbook documents the development of Residential Water Heater technology costs based on the Itron "Ex Ante Cost Study" (2010-2012_WO017_Ex_Ante_Measure_Cost_Study_-_Final_Report.pdf).</t>
  </si>
  <si>
    <t>Tab</t>
  </si>
  <si>
    <t>Description</t>
  </si>
  <si>
    <t>CostModel Coef</t>
  </si>
  <si>
    <t>The table on the page was derived from the data for full size residential refrigerators in Table 3-3 of the cost report.</t>
  </si>
  <si>
    <t>Data are organized by the "Type" variable to allow simplified lookups from the DEER technology table for refrigerators.</t>
  </si>
  <si>
    <t>This table is used to apply the cost model to the applicable refrigerator technologies utilized in DEER measures.</t>
  </si>
  <si>
    <t>WaterHeater Technology</t>
  </si>
  <si>
    <t>This worksheet takes the standard technology export for refrigerators from READI (exante1314 database) and applies the cost model to all applicable technologies.</t>
  </si>
  <si>
    <t>The following steps are taken to determine the technology cost values:</t>
  </si>
  <si>
    <t>●</t>
  </si>
  <si>
    <t xml:space="preserve">the cost category (cost model "Type" variable ) for each technology is determined. </t>
  </si>
  <si>
    <t xml:space="preserve">out-of-scope technologies are identified; technologies are out of scope based on specific parameter values (kWh rating and volume range) </t>
  </si>
  <si>
    <t>The "per unit" material cost is calculated according to the cost model.</t>
  </si>
  <si>
    <t>MeasureCost</t>
  </si>
  <si>
    <t>This worksheet formats the cost data into the standard ex ante MeasureCost table format for import into the ex ante database.</t>
  </si>
  <si>
    <t xml:space="preserve">Measure </t>
  </si>
  <si>
    <t>This worksheet takes the standard Measure table export from READI for the relevant DEER measures and assigns the MeasCostID and StdCostID where applicable.</t>
  </si>
  <si>
    <t>Issues:</t>
  </si>
  <si>
    <t xml:space="preserve">Heat pump water heater cost data for the standard replacement efficiency level (EF = 2.0) has been determined to be out-of-date </t>
  </si>
  <si>
    <t xml:space="preserve">   and leads to the cost model predicting decreasing cost with increasing efficiency.  The HP water heater cost model is not utilized for 2016 ex ante.  </t>
  </si>
  <si>
    <t>The cost study results indicate that costs for commercial water heaters with the same specifications as residential water heaters have very different (higher) costs.</t>
  </si>
  <si>
    <t xml:space="preserve">   Cost data for the size ranges included in the DEER hot water heater measures only support residential water heaters.</t>
  </si>
  <si>
    <t>Residential water heater cost model</t>
  </si>
  <si>
    <t>from 2010-2012_WO017_Ex_Ante_Measure_Cost_Study_-_Final_Report.pdf</t>
  </si>
  <si>
    <t>parameter type =&gt;</t>
  </si>
  <si>
    <t>cont</t>
  </si>
  <si>
    <t>binar</t>
  </si>
  <si>
    <t>Configuration</t>
  </si>
  <si>
    <t>Constants</t>
  </si>
  <si>
    <t>Energy Factor</t>
  </si>
  <si>
    <t>Input kW</t>
  </si>
  <si>
    <t>Cap MBTU/hr</t>
  </si>
  <si>
    <t>Volume Range</t>
  </si>
  <si>
    <t>Forced</t>
  </si>
  <si>
    <t>Contractor</t>
  </si>
  <si>
    <t>Freezer Location</t>
  </si>
  <si>
    <t>Intercept</t>
  </si>
  <si>
    <t>Brand</t>
  </si>
  <si>
    <t>230 Volt</t>
  </si>
  <si>
    <t>EF</t>
  </si>
  <si>
    <t>Min</t>
  </si>
  <si>
    <t>Max</t>
  </si>
  <si>
    <t>Cap</t>
  </si>
  <si>
    <t>Volume</t>
  </si>
  <si>
    <t>Draft</t>
  </si>
  <si>
    <t>Markup</t>
  </si>
  <si>
    <t>TechType</t>
  </si>
  <si>
    <t>HP_EF</t>
  </si>
  <si>
    <t>Instant_EF</t>
  </si>
  <si>
    <t>Stor_EF-Elec</t>
  </si>
  <si>
    <t>Stor_EF</t>
  </si>
  <si>
    <t>Stor_EF-Gas</t>
  </si>
  <si>
    <t>Ex Ante database Technology Export</t>
  </si>
  <si>
    <t>Technology Group: Water Heating Equipment (WaterHtg_eq)</t>
  </si>
  <si>
    <r>
      <t xml:space="preserve">Technology Type: </t>
    </r>
    <r>
      <rPr>
        <b/>
        <sz val="11"/>
        <color indexed="8"/>
        <rFont val="Calibri"/>
        <family val="2"/>
      </rPr>
      <t>EF Rated Instantaneous Water Heater (Instant_EF)</t>
    </r>
  </si>
  <si>
    <t>This file created on 8/14/2015 11:08:46 AM while connected to localhost as sptviewer.</t>
  </si>
  <si>
    <t>Program/Database Description: READI v.2.2.1 (Current DEER and Non-DEER Ex Ante data.  Includes data for review)</t>
  </si>
  <si>
    <t>Cost</t>
  </si>
  <si>
    <t>Category</t>
  </si>
  <si>
    <t>Material</t>
  </si>
  <si>
    <t>TechID</t>
  </si>
  <si>
    <t>TechSource</t>
  </si>
  <si>
    <t>Fuel_Type</t>
  </si>
  <si>
    <t>Energy_Factor</t>
  </si>
  <si>
    <t>BurnCap_kBTUh</t>
  </si>
  <si>
    <t>BurnCap_kW</t>
  </si>
  <si>
    <t>RecovEff</t>
  </si>
  <si>
    <t>auxW</t>
  </si>
  <si>
    <t>auxVentW</t>
  </si>
  <si>
    <t>pilotBTUh</t>
  </si>
  <si>
    <t>pilotHtgEff</t>
  </si>
  <si>
    <t>Replaced_Gal</t>
  </si>
  <si>
    <t>Tech Desc</t>
  </si>
  <si>
    <t>Index</t>
  </si>
  <si>
    <t>Inst_EF-Gas-150kBtuh-0p82EF</t>
  </si>
  <si>
    <t>DEER2015</t>
  </si>
  <si>
    <t>Gas</t>
  </si>
  <si>
    <t>Instantaneous Gas water heater: EF = 0.82, RE = 0.82, Cap = 150kBTUh, AuxBTUh: 350</t>
  </si>
  <si>
    <t>Inst_EF-Gas-150kBtuh-0p84EF</t>
  </si>
  <si>
    <t>Instantaneous Gas water heater: EF = 0.84, RE = 0.84, Cap = 150kBTUh, AuxBTUh: 350</t>
  </si>
  <si>
    <t>Inst_EF-Gas-150kBtuh-0p92EF</t>
  </si>
  <si>
    <t xml:space="preserve">Instantaneous Gas water heater: EF = 0.92, RE = 0.92, Cap = 150kBTUh, VentW: 50, AuxBTUh: 350_x000D_
</t>
  </si>
  <si>
    <r>
      <t xml:space="preserve">Technology Type: </t>
    </r>
    <r>
      <rPr>
        <b/>
        <sz val="11"/>
        <color indexed="8"/>
        <rFont val="Calibri"/>
        <family val="2"/>
      </rPr>
      <t>EF Rated Heat Pump Water Heater (HP_EF)</t>
    </r>
  </si>
  <si>
    <t>This file created on 8/14/2015 11:08:58 AM while connected to localhost as sptviewer.</t>
  </si>
  <si>
    <t>Nom_Gallons</t>
  </si>
  <si>
    <t>TankUA</t>
  </si>
  <si>
    <t>HPMinT</t>
  </si>
  <si>
    <t>HPMaxT</t>
  </si>
  <si>
    <t>HPMaxGal</t>
  </si>
  <si>
    <t>Stor_EF-ElecHP-030gal-2.00EF</t>
  </si>
  <si>
    <t>Small storage HP water heater: 30 gallon, EF = 2.00, RE = 0.98, Cap = 4.5 kW, UA = 4.20 BTU/hr-F</t>
  </si>
  <si>
    <t/>
  </si>
  <si>
    <t>Stor_EF-ElecHP-030gal-2.20EF</t>
  </si>
  <si>
    <t>Small storage HP water heater: 30 gallon, EF = 2.20, RE = 0.98, Cap = 4.5 kW, UA = 4.20 BTU/hr-F</t>
  </si>
  <si>
    <t>Stor_EF-ElecHP-030gal-2.40EF</t>
  </si>
  <si>
    <t>Small storage HP water heater: 30 gallon, EF = 2.40, RE = 0.98, Cap = 4.5 kW, UA = 4.20 BTU/hr-F</t>
  </si>
  <si>
    <t>Stor_EF-ElecHP-040gal-2.00EF</t>
  </si>
  <si>
    <t>Small storage HP water heater: 40 gallon, EF = 2.00, RE = 0.98, Cap = 4.5 kW, UA = 4.20 BTU/hr-F</t>
  </si>
  <si>
    <t>Stor_EF-ElecHP-040gal-2.20EF</t>
  </si>
  <si>
    <t>Small storage HP water heater: 40 gallon, EF = 2.20, RE = 0.98, Cap = 4.5 kW, UA = 4.20 BTU/hr-F</t>
  </si>
  <si>
    <t>Stor_EF-ElecHP-040gal-2.40EF</t>
  </si>
  <si>
    <t>Small storage HP water heater: 40 gallon, EF = 2.40, RE = 0.98, Cap = 4.5 kW, UA = 4.20 BTU/hr-F</t>
  </si>
  <si>
    <t>Stor_EF-ElecHP-050gal-2.00EF</t>
  </si>
  <si>
    <t>Small storage HP water heater: 50 gallon, EF = 2.00, RE = 0.98, Cap = 5 kW, UA = 4.20 BTU/hr-F</t>
  </si>
  <si>
    <t>Stor_EF-ElecHP-050gal-2.20EF</t>
  </si>
  <si>
    <t>Small storage HP water heater: 50 gallon, EF = 2.20, RE = 0.98, Cap = 5 kW, UA = 4.20 BTU/hr-F</t>
  </si>
  <si>
    <t>Stor_EF-ElecHP-050gal-2.40EF</t>
  </si>
  <si>
    <t>Small storage HP water heater: 50 gallon, EF = 2.40, RE = 0.98, Cap = 5 kW, UA = 4.20 BTU/hr-F</t>
  </si>
  <si>
    <t>Stor_EF-ElecHP-060gal-1.98EF</t>
  </si>
  <si>
    <t>Small storage HP water heater: 60 gallon, EF = 1.98, RE = 0.98, Cap = 5.5 kW, UA = 4.20 BTU/hr-F</t>
  </si>
  <si>
    <t>Stor_EF-ElecHP-060gal-2.20EF</t>
  </si>
  <si>
    <t>Small storage HP water heater: 60 gallon, EF = 2.20, RE = 0.98, Cap = 5.5 kW, UA = 4.20 BTU/hr-F</t>
  </si>
  <si>
    <t>Stor_EF-ElecHP-060gal-2.40EF</t>
  </si>
  <si>
    <t>Small storage HP water heater: 60 gallon, EF = 2.40, RE = 0.98, Cap = 5.5 kW, UA = 4.20 BTU/hr-F</t>
  </si>
  <si>
    <t>Stor_EF-ElecHP-075gal-1.96EF</t>
  </si>
  <si>
    <t>Small storage HP water heater: 75 gallon, EF = 1.96, RE = 0.98, Cap = 5.5 kW, UA = 4.20 BTU/hr-F</t>
  </si>
  <si>
    <t>Stor_EF-ElecHP-075gal-2.20EF</t>
  </si>
  <si>
    <t>Small storage HP water heater: 75 gallon, EF = 2.20, RE = 0.98, Cap = 5.5 kW, UA = 4.20 BTU/hr-F</t>
  </si>
  <si>
    <t>Stor_EF-ElecHP-075gal-2.40EF</t>
  </si>
  <si>
    <t>Small storage HP water heater: 75 gallon, EF = 2.40, RE = 0.98, Cap = 5.5 kW, UA = 4.20 BTU/hr-F</t>
  </si>
  <si>
    <r>
      <t>Technology Type:</t>
    </r>
    <r>
      <rPr>
        <b/>
        <sz val="11"/>
        <color indexed="8"/>
        <rFont val="Calibri"/>
        <family val="2"/>
      </rPr>
      <t xml:space="preserve"> EF Rated Storage Water Heater (Stor_EF)</t>
    </r>
  </si>
  <si>
    <t>This file created on 8/14/2015 11:09:06 AM while connected to localhost as sptviewer.</t>
  </si>
  <si>
    <t>Comment</t>
  </si>
  <si>
    <t>Stor_EF-Elec-030gal-0.89EF</t>
  </si>
  <si>
    <t>DEER2014</t>
  </si>
  <si>
    <t>Elec</t>
  </si>
  <si>
    <t>Small storage Elec water heater: 30 gallon, EF = 0.89, RE = 0.98, Cap = 4.5 kW, UA = 3.12 BTU/hr-F</t>
  </si>
  <si>
    <t>Cost model not producing reliable results at this EF/volume</t>
  </si>
  <si>
    <t>Stor_EF-Elec-030gal-0.93EF</t>
  </si>
  <si>
    <t>Small storage Elec water heater: 30 gallon, EF = 0.93, RE = 0.98, Cap = 4.5 kW, UA = 1.90 BTU/hr-F</t>
  </si>
  <si>
    <t>Stor_EF-Elec-030gal-0.951EF</t>
  </si>
  <si>
    <t>Small storage Elec water heater: 30 gallon, EF = 0.95, RE = 0.98, Cap = 4.5 kW, UA = 1.31 BTU/hr-F</t>
  </si>
  <si>
    <t>Stor_EF-Elec-030gal-0.95EF</t>
  </si>
  <si>
    <t>Small storage Elec water heater: 30 gallon, EF = 0.95</t>
  </si>
  <si>
    <t>Stor_EF-Elec-040gal-0.88EF</t>
  </si>
  <si>
    <t>Small storage Elec water heater: 40 gallon, EF = 0.88, RE = 0.98, Cap = 4.5 kW, UA = 3.55 BTU/hr-F</t>
  </si>
  <si>
    <t>Stor_EF-Elec-040gal-0.92EF</t>
  </si>
  <si>
    <t>Small storage Elec water heater: 40 gallon, EF = 0.92, RE = 0.98, Cap = 4.5 kW, UA = 2.29 BTU/hr-F</t>
  </si>
  <si>
    <t>Stor_EF-Elec-040gal-0.948EF</t>
  </si>
  <si>
    <t>Small storage Elec water heater: 40 gallon, EF = 0.95, RE = 0.98, Cap = 4.5 kW, UA = 1.39 BTU/hr-F</t>
  </si>
  <si>
    <t>Stor_EF-Elec-040gal-0.94EF</t>
  </si>
  <si>
    <t>Small storage Elec water heater: 40 gallon, EF = 0.94</t>
  </si>
  <si>
    <t>Stor_EF-Elec-050gal-0.86EF</t>
  </si>
  <si>
    <t>Small storage Elec water heater: 50 gallon, EF = 0.86, RE = 0.98, Cap = 5 kW, UA = 3.99 BTU/hr-F</t>
  </si>
  <si>
    <t>Stor_EF-Elec-050gal-0.90EF</t>
  </si>
  <si>
    <t>Small storage Elec water heater: 50 gallon, EF = 0.90, RE = 0.98, Cap = 5 kW, UA = 2.69 BTU/hr-F</t>
  </si>
  <si>
    <t>Stor_EF-Elec-050gal-0.93EF</t>
  </si>
  <si>
    <t>Small storage Elec water heater: 50 gallon, EF = 0.93</t>
  </si>
  <si>
    <t>Stor_EF-Elec-050gal-0.945EF</t>
  </si>
  <si>
    <t>Small storage Elec water heater: 50 gallon, EF = 0.95, RE = 0.98, Cap = 4.5 kW, UA = 1.48 BTU/hr-F</t>
  </si>
  <si>
    <t>Stor_EF-Elec-060gal-0.85EF</t>
  </si>
  <si>
    <t>Small storage Elec water heater: 60 gallon, EF = 0.85, RE = 0.98, Cap = 5.5 kW, UA = 4.45 BTU/hr-F</t>
  </si>
  <si>
    <t>Stor_EF-Elec-060gal-0.89EF</t>
  </si>
  <si>
    <t>Small storage Elec water heater: 60 gallon, EF = 0.89, RE = 0.98, Cap = 5.5 kW, UA = 3.11 BTU/hr-F</t>
  </si>
  <si>
    <t>Stor_EF-Elec-060gal-0.92EF</t>
  </si>
  <si>
    <t>Small storage Elec water heater: 60 gallon, EF = 0.92</t>
  </si>
  <si>
    <t>Stor_EF-Elec-075gal-0.83EF</t>
  </si>
  <si>
    <t>Small storage Elec water heater: 75 gallon, EF = 0.83, RE = 0.98, Cap = 5.5 kW, UA = 5.16 BTU/hr-F</t>
  </si>
  <si>
    <t>Stor_EF-Elec-075gal-0.87EF</t>
  </si>
  <si>
    <t>Small storage Elec water heater: 75 gallon, EF = 0.87, RE = 0.98, Cap = 5.5 kW, UA = 3.76 BTU/hr-F</t>
  </si>
  <si>
    <t>Stor_EF-Elec-075gal-0.91EF</t>
  </si>
  <si>
    <t>Small storage Elec water heater: 75 gallon, EF = 0.91</t>
  </si>
  <si>
    <t>Stor_EF-Gas-030gal-0.57EF</t>
  </si>
  <si>
    <t>Small storage Gas water heater: 30 gallon, EF = 0.57, RE = 0.758, Cap = 30kBTUh, UA = 9.30 BTU/hr-F, AuxBTUh: 350</t>
  </si>
  <si>
    <t>Stor_EF-Gas-030gal-0.58EF</t>
  </si>
  <si>
    <t>Small storage Gas water heater: 30 gallon, EF = 0.58, RE = 0.758, Cap = 30kBTUh, UA = 8.63 BTU/hr-F, AuxBTUh: 350</t>
  </si>
  <si>
    <t>Stor_EF-Gas-030gal-0.61EF</t>
  </si>
  <si>
    <t>Small storage Gas water heater: 30 gallon, EF = 0.61, RE = 0.758, Cap = 30kBTUh, UA = 6.62 BTU/hr-F, AuxBTUh: 350</t>
  </si>
  <si>
    <t>Stor_EF-Gas-030gal-0.62EF</t>
  </si>
  <si>
    <t>Small storage Elec water heater: 30 gallon, EF = 0.62</t>
  </si>
  <si>
    <t>Stor_EF-Gas-030gal-0.630EF</t>
  </si>
  <si>
    <t>Small storage Gas water heater: 30 gallon, EF = 0.63, RE = 0.81, Cap = 30kBTUh, UA = 7.97 BTU/hr-F, AuxBTUh: 350</t>
  </si>
  <si>
    <t>Stor_EF-Gas-030gal-0.65EF</t>
  </si>
  <si>
    <t>Small storage Gas water heater: 30 gallon, EF = 0.65, RE = 0.81, Cap = 30kBTUh, UA = 6.84 BTU/hr-F, AuxBTUh: 350</t>
  </si>
  <si>
    <t>Stor_EF-Gas-030gal-0.70EF</t>
  </si>
  <si>
    <t>Small storage Gas water heater: 30 gallon, EF = 0.70, RE = 0.81, Cap = 30kBTUh, UA = 4.34 BTU/hr-F, AuxBTUh: 350</t>
  </si>
  <si>
    <t>Stor_EF-Gas-030gal-0.72EF</t>
  </si>
  <si>
    <t>Small storage Gas water heater: 30 gallon, EF = 0.72, RE = 0.83, Cap = 30kBTUh, UA = 4.21 BTU/hr-F, AuxBTUh: 350</t>
  </si>
  <si>
    <t>out-of-scope based on EF</t>
  </si>
  <si>
    <t>Stor_EF-Gas-030gal-0.7EF</t>
  </si>
  <si>
    <t>Small storage Elec water heater: 30 gallon, EF = 0.7</t>
  </si>
  <si>
    <t>Stor_EF-Gas-040gal-0.57EF</t>
  </si>
  <si>
    <t>Small storage Gas water heater: 40 gallon, EF = 0.57, RE = 0.758, Cap = 40kBTUh, UA = 9.05 BTU/hr-F, AuxBTUh: 350</t>
  </si>
  <si>
    <t>Stor_EF-Gas-040gal-0.58EF</t>
  </si>
  <si>
    <t>Small storage Gas water heater: 40 gallon, EF = 0.58, RE = 0.758, Cap = 40kBTUh, UA = 8.40 BTU/hr-F, AuxBTUh: 350</t>
  </si>
  <si>
    <t>Stor_EF-Gas-040gal-0.59EF</t>
  </si>
  <si>
    <t>Small storage Gas water heater: 40 gallon, EF = 0.59, RE = 0.758, Cap = 40kBTUh, UA = 7.55 BTU/hr-F, AuxBTUh: 350</t>
  </si>
  <si>
    <t>Stor_EF-Gas-040gal-0.615EF</t>
  </si>
  <si>
    <t>Small storage Gas water heater: 40 gallon, EF = 0.62, RE = 0.76, Cap = 40kBTUh, UA = 6.43 BTU/hr-F, AuxBTUh: 350</t>
  </si>
  <si>
    <t>Stor_EF-Gas-040gal-0.62EF</t>
  </si>
  <si>
    <t>Small storage Elec water heater: 40 gallon, EF = 0.62</t>
  </si>
  <si>
    <t>Stor_EF-Gas-040gal-0.65EF</t>
  </si>
  <si>
    <t>Small storage Gas water heater: 40 gallon, EF = 0.65, RE = 0.76, Cap = 40kBTUh, UA = 4.60 BTU/hr-F, AuxBTUh: 350</t>
  </si>
  <si>
    <t>Stor_EF-Gas-040gal-0.67EF</t>
  </si>
  <si>
    <t>Small storage Gas water heater: 40 gallon, EF = 0.67, RE = 0.801, Cap = 40kBTUh, UA = 4.61 BTU/hr-F, AuxBTUh: 350</t>
  </si>
  <si>
    <t>Stor_EF-Gas-040gal-0.70EF</t>
  </si>
  <si>
    <t>Small storage Gas water heater: 40 gallon, EF = 0.70, RE = 0.82, Cap = 40kBTUh, UA = 4.63 BTU/hr-F, AuxBTUh: 350</t>
  </si>
  <si>
    <t>Stor_EF-Gas-040gal-0.7EF</t>
  </si>
  <si>
    <t>Small storage Elec water heater: 50 gallon, EF = 0.7</t>
  </si>
  <si>
    <t>Stor_EF-Gas-040gal-0.82EF</t>
  </si>
  <si>
    <t>Small storage Gas water heater: 40 gallon, EF = 0.82, RE = 0.9, Cap = 40kBTUh, UA = 2.61 BTU/hr-F, VentW: 50, AuxBTUh: 350</t>
  </si>
  <si>
    <t>Stor_EF-Gas-050gal-0.57EF</t>
  </si>
  <si>
    <t>Small storage Gas water heater: 50 gallon, EF = 0.57, RE = 0.763, Cap = 40kBTUh, UA = 9.29 BTU/hr-F, AuxBTUh: 350</t>
  </si>
  <si>
    <t>Stor_EF-Gas-050gal-0.58EF</t>
  </si>
  <si>
    <t>Small storage Gas water heater: 50 gallon, EF = 0.58, RE = 0.763, Cap = 40kBTUh, UA = 8.96 BTU/hr-F, AuxBTUh: 350</t>
  </si>
  <si>
    <t>Stor_EF-Gas-050gal-0.600EF</t>
  </si>
  <si>
    <t>Small storage Gas water heater: 50 gallon, EF = 0.60, RE = 0.763, Cap = 40kBTUh, UA = 7.42 BTU/hr-F, AuxBTUh: 350</t>
  </si>
  <si>
    <t>Stor_EF-Gas-050gal-0.62EF</t>
  </si>
  <si>
    <t>Small storage Elec water heater: 50 gallon, EF = 0.62</t>
  </si>
  <si>
    <t>Stor_EF-Gas-050gal-0.67EF</t>
  </si>
  <si>
    <t>Small storage Gas water heater: 50 gallon, EF = 0.67, RE = 0.79, Cap = 40kBTUh, UA = 4.85 BTU/hr-F, AuxBTUh: 350</t>
  </si>
  <si>
    <t>Stor_EF-Gas-050gal-0.70EF</t>
  </si>
  <si>
    <t>Small storage Gas water heater: 50 gallon, EF = 0.70, RE = 0.82, Cap = 40kBTUh, UA = 4.63 BTU/hr-F, AuxBTUh: 350</t>
  </si>
  <si>
    <t>Stor_EF-Gas-050gal-0.7EF</t>
  </si>
  <si>
    <t>Stor_EF-Gas-050gal-0.82EF</t>
  </si>
  <si>
    <t>Small storage Gas water heater: 50 gallon, EF = 0.82, RE = 0.9, Cap = 40kBTUh, UA = 2.61 BTU/hr-F, VentW: 50, AuxBTUh: 350</t>
  </si>
  <si>
    <t>Stor_EF-Gas-060gal-0.56EF</t>
  </si>
  <si>
    <t>Small storage Gas water heater: 60 gallon, EF = 0.56, RE = 0.76, Cap = 55kBTUh, UA = 9.86 BTU/hr-F, AuxBTUh: 350</t>
  </si>
  <si>
    <t>Stor_EF-Gas-060gal-0.62EF</t>
  </si>
  <si>
    <t>Small storage Elec water heater: 60 gallon, EF = 0.62</t>
  </si>
  <si>
    <t>Stor_EF-Gas-060gal-0.66EF</t>
  </si>
  <si>
    <t>Small storage Elec water heater: 60 gallon, EF = 0.66</t>
  </si>
  <si>
    <t>Stor_EF-Gas-060gal-0.754EF</t>
  </si>
  <si>
    <t>Small storage Gas water heater: 60 gallon, EF = 0.75, RE = 0.85, Cap = 40kBTUh, UA = 3.42 BTU/hr-F, VentW: 50, AuxBTUh: 350</t>
  </si>
  <si>
    <t>Stor_EF-Gas-060gal-0.78EF</t>
  </si>
  <si>
    <t>Small storage Gas water heater: 60 gallon, EF = 0.78, RE = 0.9, Cap = 40kBTUh, UA = 4.13 BTU/hr-F, VentW: 50, AuxBTUh: 350</t>
  </si>
  <si>
    <t>Stor_EF-Gas-060gal-0.7EF</t>
  </si>
  <si>
    <t>Small storage Elec water heater: 60 gallon, EF = 0.7</t>
  </si>
  <si>
    <t>Stor_EF-Gas-060gal-0.80EF</t>
  </si>
  <si>
    <t>Small storage Gas water heater: 60 gallon, EF = 0.80, RE = 0.92, Cap = 40kBTUh, UA = 4.02 BTU/hr-F, VentW: 50, AuxBTUh: 350</t>
  </si>
  <si>
    <t>Stor_EF-Gas-060gal-0.82EF</t>
  </si>
  <si>
    <t>Small storage Gas water heater: 60 gallon, EF = 0.82, RE = 0.92, Cap = 40kBTUh, UA = 3.26 BTU/hr-F, VentW: 50, AuxBTUh: 350</t>
  </si>
  <si>
    <t>Stor_EF-Gas-075gal-0.48EF</t>
  </si>
  <si>
    <t>Small storage Gas water heater: 75 gallon, EF = 0.48, RE = 0.76, Cap = 70kBTUh, UA = 15.59 BTU/hr-F, AuxBTUh: 350</t>
  </si>
  <si>
    <t>out-of-scope based on Volume</t>
  </si>
  <si>
    <t>Stor_EF-Gas-075gal-0.53EF</t>
  </si>
  <si>
    <t>Small storage Gas water heater: 75 gallon, EF = 0.53, RE = 0.76, Cap = 70kBTUh, UA = 11.69 BTU/hr-F, AuxBTUh: 350</t>
  </si>
  <si>
    <t>Stor_EF-Gas-075gal-0.62EF</t>
  </si>
  <si>
    <t>Small storage Elec water heater: 75 gallon, EF = 0.62</t>
  </si>
  <si>
    <t>Stor_EF-Gas-075gal-0.66EF</t>
  </si>
  <si>
    <t>Small storage Elec water heater: 75 gallon, EF = 0.66</t>
  </si>
  <si>
    <t>Stor_EF-Gas-075gal-0.743EF</t>
  </si>
  <si>
    <t>Small storage Gas water heater: 75 gallon, EF = 0.74, RE = 0.88, Cap = 70kBTUh, UA = 4.84 BTU/hr-F, VentW: 50, AuxBTUh: 350</t>
  </si>
  <si>
    <t>Stor_EF-Gas-075gal-0.78EF</t>
  </si>
  <si>
    <t>Small storage Gas water heater: 75 gallon, EF = 0.78, RE = 0.9, Cap = 70kBTUh, UA = 4.03 BTU/hr-F, VentW: 50, AuxBTUh: 350</t>
  </si>
  <si>
    <t>Stor_EF-Gas-075gal-0.7EF</t>
  </si>
  <si>
    <t>Small storage Elec water heater: 75 gallon, EF = 0.7</t>
  </si>
  <si>
    <t>Stor_EF-Gas-075gal-0.80EF</t>
  </si>
  <si>
    <t>Small storage Gas water heater: 75 gallon, EF = 0.80, RE = 0.92, Cap = 70kBTUh, UA = 3.92 BTU/hr-F, VentW: 50, AuxBTUh: 350</t>
  </si>
  <si>
    <t>Stor_EF-Gas-075gal-0.82EF</t>
  </si>
  <si>
    <t>Small storage Gas water heater: 75 gallon, EF = 0.82, RE = 0.94, Cap = 70kBTUh, UA = 3.83 BTU/hr-F, VentW: 50, AuxBTUh: 350</t>
  </si>
  <si>
    <t>exante1314 database tables: MeasureCost</t>
  </si>
  <si>
    <t>This file created on 8/8/2015 2:36:12 PM while connected to localhost as sptviewer.</t>
  </si>
  <si>
    <t>MeasCostID</t>
  </si>
  <si>
    <t>NormUnit</t>
  </si>
  <si>
    <t>Version</t>
  </si>
  <si>
    <t>VersionSource</t>
  </si>
  <si>
    <t>LastMod</t>
  </si>
  <si>
    <t>Sector</t>
  </si>
  <si>
    <t>UseCategory</t>
  </si>
  <si>
    <t>UseSubCategory</t>
  </si>
  <si>
    <t>TechGroup</t>
  </si>
  <si>
    <t>MeasAppType</t>
  </si>
  <si>
    <t>DelivType</t>
  </si>
  <si>
    <t>SourceDesc</t>
  </si>
  <si>
    <t>PA</t>
  </si>
  <si>
    <t>BldgType</t>
  </si>
  <si>
    <t>BldgVint</t>
  </si>
  <si>
    <t>BldgLoc</t>
  </si>
  <si>
    <t>CostQualifier</t>
  </si>
  <si>
    <t>CostType</t>
  </si>
  <si>
    <t>GenCost</t>
  </si>
  <si>
    <t>LaborCost</t>
  </si>
  <si>
    <t>MatlCost</t>
  </si>
  <si>
    <t>InstallHrs</t>
  </si>
  <si>
    <t>LaborRate</t>
  </si>
  <si>
    <t>LocCostAdj</t>
  </si>
  <si>
    <t>Status</t>
  </si>
  <si>
    <t>ReviewStatus</t>
  </si>
  <si>
    <t>StartDate</t>
  </si>
  <si>
    <t>ExpiryDate</t>
  </si>
  <si>
    <t>Each</t>
  </si>
  <si>
    <t>DEER2016</t>
  </si>
  <si>
    <t>D16v3</t>
  </si>
  <si>
    <t>&lt;from TechID&gt;</t>
  </si>
  <si>
    <t>Res</t>
  </si>
  <si>
    <t>SHW</t>
  </si>
  <si>
    <t>Heating</t>
  </si>
  <si>
    <t>WaterHtg_eq</t>
  </si>
  <si>
    <t>RobNc</t>
  </si>
  <si>
    <t>Any</t>
  </si>
  <si>
    <t>2010-2012_WO017_Ex_Ante_Measure_Cost_Study_-_Final_Report</t>
  </si>
  <si>
    <t>Full</t>
  </si>
  <si>
    <t>Proposed</t>
  </si>
  <si>
    <t>DEER</t>
  </si>
  <si>
    <t>1/1/2015</t>
  </si>
  <si>
    <t>Ex Ante Source Tables Export</t>
  </si>
  <si>
    <t>Measure Table (exante.Measure)</t>
  </si>
  <si>
    <t>This file created on 8/30/2015 3:02:21 PM while connected to localhost as sptviewer.</t>
  </si>
  <si>
    <t>MeasureID</t>
  </si>
  <si>
    <t>EnergyImpactID</t>
  </si>
  <si>
    <t>MeasImpactType</t>
  </si>
  <si>
    <t>EnImpCalcType</t>
  </si>
  <si>
    <t>ImpScaleBasis</t>
  </si>
  <si>
    <t>StdScaleVal</t>
  </si>
  <si>
    <t>PreScaleVal</t>
  </si>
  <si>
    <t>ImpWeighting</t>
  </si>
  <si>
    <t>WeightGroupID</t>
  </si>
  <si>
    <t>ApplyIE</t>
  </si>
  <si>
    <t>IETableName</t>
  </si>
  <si>
    <t>TechBased</t>
  </si>
  <si>
    <t>StdCostID</t>
  </si>
  <si>
    <t>EUL_ID</t>
  </si>
  <si>
    <t>PreDesc</t>
  </si>
  <si>
    <t>StdDesc</t>
  </si>
  <si>
    <t>MeasDesc</t>
  </si>
  <si>
    <t>PreTechID</t>
  </si>
  <si>
    <t>StdTechID</t>
  </si>
  <si>
    <t>MeasTechID</t>
  </si>
  <si>
    <t>PreMultiTech</t>
  </si>
  <si>
    <t>StdMultiTech</t>
  </si>
  <si>
    <t>SupportedAppType</t>
  </si>
  <si>
    <t>RUL_ID</t>
  </si>
  <si>
    <t>LegacyID</t>
  </si>
  <si>
    <t>MeasQualifierGroup</t>
  </si>
  <si>
    <t>MeasID_SCE</t>
  </si>
  <si>
    <t>MeasID_PGE</t>
  </si>
  <si>
    <t>MeasID_SDG</t>
  </si>
  <si>
    <t>MeasID_SCG</t>
  </si>
  <si>
    <t>MeasType</t>
  </si>
  <si>
    <t>RG-WtrHt-SmlInst-Gas-150kBtuh-lt2G-0p82EF</t>
  </si>
  <si>
    <t>Efficient water heater: Instant_EF Gas (EF=0.82) replaces Gas water heater</t>
  </si>
  <si>
    <t>DEER-WaterHeater-Calculator</t>
  </si>
  <si>
    <t>Standard</t>
  </si>
  <si>
    <t>None</t>
  </si>
  <si>
    <t>WtrHt-Instant-Res</t>
  </si>
  <si>
    <t>Small Storage 75 gallon Gas water heater, EF varies by vintage</t>
  </si>
  <si>
    <t>ErRobNc</t>
  </si>
  <si>
    <t>WtrHt-Instan-Res</t>
  </si>
  <si>
    <t>Available</t>
  </si>
  <si>
    <t>RG-WtrHt-SmlInst-Gas-150kBtuh-lt2G-0p82EF-40g</t>
  </si>
  <si>
    <t>Efficient water heater: Inst Gas (EF=0.82) replaces Gas water heater</t>
  </si>
  <si>
    <t>Small Storage 40 gallon Gas water heater, EF varies by vintage</t>
  </si>
  <si>
    <t>WtrHt-Com</t>
  </si>
  <si>
    <t>RG-WtrHt-SmlInst-Gas-150kBtuh-lt2G-0p92EF</t>
  </si>
  <si>
    <t>Efficient water heater: Instant_EF Gas (EF=0.92) replaces Gas water heater</t>
  </si>
  <si>
    <t>RG-WtrHt-SmlInst-Gas-150kBtuh-lt2G-0p92EF-40g</t>
  </si>
  <si>
    <t>Efficient water heater: Inst Gas (EF=0.92) replaces Gas water heater</t>
  </si>
  <si>
    <t>RG-WtrHt-SmlStrg-Gas-lte75kBtuh-30G-0p72EF</t>
  </si>
  <si>
    <t>Efficient water heater: Stor_EF Gas (EF=0.72) replaces Gas water heater</t>
  </si>
  <si>
    <t>WtrHt-Res-Gas</t>
  </si>
  <si>
    <t>Small Storage 30 gallon Gas water heater, EF varies by vintage</t>
  </si>
  <si>
    <t>RG-WtrHt-SmlStrg-Gas-lte75kBtuh-40G-0p65EF</t>
  </si>
  <si>
    <t>Efficient water heater: Stor_EF Gas (EF=0.65) replaces Gas water heater</t>
  </si>
  <si>
    <t>RG-WtrHt-SmlStrg-Gas-lte75kBtuh-40G-0p82EF</t>
  </si>
  <si>
    <t>Efficient water heater: Stor_EF Gas (EF=0.82) replaces Gas water heater</t>
  </si>
  <si>
    <t>RG-WtrHt-SmlStrg-Gas-lte75kBtuh-50G-0p82EF</t>
  </si>
  <si>
    <t>Small Storage 50 gallon Gas water heater, EF varies by vintage</t>
  </si>
  <si>
    <t>RG-WtrHt-SmlStrg-Gas-lte75kBtuh-60G-0p78EF</t>
  </si>
  <si>
    <t>Efficient water heater: Stor_EF Gas (EF=0.78) replaces Gas water heater</t>
  </si>
  <si>
    <t>Small Storage 60 gallon Gas water heater, EF varies by vintage</t>
  </si>
  <si>
    <t>RG-WtrHt-SmlStrg-Gas-lte75kBtuh-60G-0p80EF</t>
  </si>
  <si>
    <t>Efficient water heater: Stor_EF Gas (EF=0.80) replaces Gas water heater</t>
  </si>
  <si>
    <t>RG-WtrHt-SmlStrg-Gas-lte75kBtuh-60G-0p82EF</t>
  </si>
  <si>
    <t>RG-WtrHt-SmlStrg-Gas-lte75kBtuh-75G-0p78EF</t>
  </si>
  <si>
    <t>RG-WtrHt-SmlStrg-Gas-lte75kBtuh-75G-0p80EF</t>
  </si>
  <si>
    <t>RG-WtrHt-SmlStrg-Gas-lte75kBtuh-75G-0p82EF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</si>
</sst>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0.0"/>
  </numFmts>
  <fonts count="1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5" fillId="0" borderId="13" applyNumberFormat="0" applyFill="0" applyAlignment="0" applyProtection="0"/>
    <xf numFmtId="0" fontId="6" fillId="2" borderId="0" applyNumberFormat="0" applyBorder="0" applyAlignment="0" applyProtection="0"/>
    <xf numFmtId="0" fontId="4" fillId="3" borderId="14" applyNumberFormat="0" applyFont="0" applyAlignment="0" applyProtection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6" fillId="2" borderId="0" xfId="2" applyAlignment="1">
      <alignment horizontal="center"/>
    </xf>
    <xf numFmtId="0" fontId="6" fillId="2" borderId="1" xfId="2" applyBorder="1" applyAlignment="1">
      <alignment horizontal="center"/>
    </xf>
    <xf numFmtId="165" fontId="0" fillId="0" borderId="0" xfId="0" applyNumberFormat="1"/>
    <xf numFmtId="0" fontId="4" fillId="3" borderId="14" xfId="3" applyFont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2" borderId="0" xfId="2"/>
    <xf numFmtId="0" fontId="0" fillId="0" borderId="0" xfId="0"/>
    <xf numFmtId="14" fontId="0" fillId="0" borderId="0" xfId="0" applyNumberFormat="1"/>
    <xf numFmtId="0" fontId="7" fillId="0" borderId="0" xfId="0" applyFont="1" applyAlignment="1"/>
    <xf numFmtId="0" fontId="0" fillId="0" borderId="0" xfId="0" applyAlignment="1"/>
    <xf numFmtId="0" fontId="0" fillId="0" borderId="10" xfId="0" applyBorder="1" applyAlignment="1"/>
    <xf numFmtId="14" fontId="0" fillId="0" borderId="0" xfId="0" applyNumberFormat="1" applyAlignment="1"/>
    <xf numFmtId="0" fontId="6" fillId="2" borderId="10" xfId="2" applyBorder="1" applyAlignment="1"/>
    <xf numFmtId="0" fontId="5" fillId="0" borderId="13" xfId="1"/>
    <xf numFmtId="0" fontId="0" fillId="0" borderId="0" xfId="0" quotePrefix="1"/>
    <xf numFmtId="0" fontId="7" fillId="0" borderId="1" xfId="0" applyFont="1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0" xfId="0" applyBorder="1"/>
    <xf numFmtId="0" fontId="0" fillId="0" borderId="7" xfId="0" applyBorder="1"/>
    <xf numFmtId="0" fontId="9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8" fillId="0" borderId="0" xfId="5"/>
    <xf numFmtId="0" fontId="10" fillId="0" borderId="0" xfId="0" applyFont="1"/>
    <xf numFmtId="14" fontId="11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ont="1"/>
    <xf numFmtId="0" fontId="0" fillId="0" borderId="0" xfId="0"/>
    <xf numFmtId="0" fontId="0" fillId="0" borderId="10" xfId="0" applyBorder="1"/>
    <xf numFmtId="0" fontId="7" fillId="0" borderId="0" xfId="0" applyFont="1"/>
    <xf numFmtId="9" fontId="4" fillId="0" borderId="9" xfId="4" applyFon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9" fontId="4" fillId="0" borderId="6" xfId="4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2" borderId="1" xfId="2" applyBorder="1"/>
    <xf numFmtId="2" fontId="0" fillId="0" borderId="0" xfId="0" applyNumberFormat="1"/>
    <xf numFmtId="1" fontId="0" fillId="0" borderId="8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4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0" xfId="0" applyNumberFormat="1"/>
    <xf numFmtId="0" fontId="12" fillId="0" borderId="3" xfId="0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9" fontId="12" fillId="0" borderId="9" xfId="4" applyFont="1" applyBorder="1" applyAlignment="1">
      <alignment horizontal="center"/>
    </xf>
    <xf numFmtId="14" fontId="0" fillId="0" borderId="0" xfId="0" quotePrefix="1" applyNumberFormat="1"/>
    <xf numFmtId="0" fontId="0" fillId="4" borderId="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6">
    <cellStyle name="Heading 2" xfId="1" builtinId="17"/>
    <cellStyle name="Neutral" xfId="2" builtinId="28"/>
    <cellStyle name="Normal" xfId="0" builtinId="0"/>
    <cellStyle name="Note" xfId="3" builtinId="10"/>
    <cellStyle name="Percent" xfId="4" builtinId="5"/>
    <cellStyle name="Warning Text" xfId="5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7"/>
  <sheetViews>
    <sheetView tabSelected="1" workbookViewId="0">
      <selection activeCell="B4" sqref="B4"/>
    </sheetView>
  </sheetViews>
  <sheetFormatPr defaultRowHeight="15"/>
  <cols>
    <col min="1" max="1" width="9.140625" style="28"/>
    <col min="2" max="2" width="25.5703125" style="28" customWidth="1"/>
    <col min="3" max="3" width="9.140625" style="28"/>
    <col min="4" max="4" width="13" style="28" customWidth="1"/>
    <col min="5" max="12" width="9.140625" style="28"/>
    <col min="13" max="14" width="11.5703125" style="28" bestFit="1" customWidth="1"/>
    <col min="15" max="16384" width="9.140625" style="28"/>
  </cols>
  <sheetData>
    <row r="2" spans="2:17" ht="18" thickBot="1">
      <c r="B2" s="35" t="s">
        <v>0</v>
      </c>
      <c r="C2" s="35"/>
      <c r="D2" s="35"/>
      <c r="E2" s="35"/>
      <c r="F2" s="35"/>
      <c r="G2" s="35"/>
      <c r="H2" s="35"/>
      <c r="I2" s="53"/>
      <c r="J2" s="53"/>
      <c r="K2" s="53"/>
      <c r="L2" s="53"/>
      <c r="M2" s="53"/>
      <c r="N2" s="53"/>
      <c r="O2" s="53"/>
      <c r="P2" s="53"/>
      <c r="Q2" s="53"/>
    </row>
    <row r="3" spans="2:17" ht="15.75" thickTop="1">
      <c r="B3" s="36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5" spans="2:17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8" spans="2:17">
      <c r="B8" s="37" t="s">
        <v>3</v>
      </c>
      <c r="C8" s="37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38" t="s">
        <v>5</v>
      </c>
      <c r="C9" s="39" t="s">
        <v>6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2:17">
      <c r="B10" s="41"/>
      <c r="C10" s="42" t="s">
        <v>7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3"/>
    </row>
    <row r="11" spans="2:17">
      <c r="B11" s="41"/>
      <c r="C11" s="42" t="s">
        <v>8</v>
      </c>
      <c r="D11" s="4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3"/>
    </row>
    <row r="12" spans="2:17"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3"/>
    </row>
    <row r="13" spans="2:17">
      <c r="B13" s="41" t="s">
        <v>9</v>
      </c>
      <c r="C13" s="42" t="s">
        <v>10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3"/>
    </row>
    <row r="14" spans="2:17">
      <c r="B14" s="41"/>
      <c r="C14" s="42" t="s">
        <v>11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3"/>
    </row>
    <row r="15" spans="2:17">
      <c r="B15" s="41"/>
      <c r="C15" s="44" t="s">
        <v>12</v>
      </c>
      <c r="D15" s="42" t="s">
        <v>13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3"/>
    </row>
    <row r="16" spans="2:17">
      <c r="B16" s="41"/>
      <c r="C16" s="44" t="s">
        <v>12</v>
      </c>
      <c r="D16" s="42" t="s">
        <v>14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</row>
    <row r="17" spans="2:17">
      <c r="B17" s="41"/>
      <c r="C17" s="44" t="s">
        <v>12</v>
      </c>
      <c r="D17" s="42" t="s">
        <v>15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3"/>
    </row>
    <row r="18" spans="2:17"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</row>
    <row r="19" spans="2:17">
      <c r="B19" s="41" t="s">
        <v>16</v>
      </c>
      <c r="C19" s="42" t="s">
        <v>17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</row>
    <row r="20" spans="2:17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</row>
    <row r="21" spans="2:17">
      <c r="B21" s="46" t="s">
        <v>18</v>
      </c>
      <c r="C21" s="2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47"/>
    </row>
    <row r="22" spans="2:17">
      <c r="B22" s="53"/>
      <c r="C22" s="48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2:17">
      <c r="B23" s="49" t="s">
        <v>20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2:17">
      <c r="B24" s="50">
        <v>42229</v>
      </c>
      <c r="C24" s="51" t="s">
        <v>12</v>
      </c>
      <c r="D24" s="23" t="s">
        <v>21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2:17">
      <c r="B25" s="53"/>
      <c r="C25" s="53"/>
      <c r="D25" s="23" t="s">
        <v>22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2:17">
      <c r="B26" s="53"/>
      <c r="C26" s="51" t="s">
        <v>12</v>
      </c>
      <c r="D26" s="53" t="s">
        <v>23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2:17">
      <c r="B27" s="53"/>
      <c r="C27" s="53"/>
      <c r="D27" s="53" t="s">
        <v>24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14"/>
  <sheetViews>
    <sheetView workbookViewId="0">
      <selection activeCell="A13" sqref="A13"/>
    </sheetView>
  </sheetViews>
  <sheetFormatPr defaultRowHeight="15"/>
  <cols>
    <col min="1" max="1" width="10.7109375" customWidth="1"/>
    <col min="2" max="2" width="21.42578125" customWidth="1"/>
    <col min="3" max="3" width="11.28515625" customWidth="1"/>
    <col min="4" max="4" width="11.28515625" style="3" customWidth="1"/>
    <col min="5" max="5" width="11.7109375" customWidth="1"/>
    <col min="6" max="6" width="10.140625" style="3" customWidth="1"/>
    <col min="7" max="7" width="9.28515625" style="53" customWidth="1"/>
    <col min="8" max="8" width="9.28515625" customWidth="1"/>
    <col min="12" max="14" width="9.140625" style="53"/>
    <col min="18" max="18" width="9.140625" style="53"/>
    <col min="19" max="19" width="10.140625" customWidth="1"/>
    <col min="20" max="20" width="11" customWidth="1"/>
  </cols>
  <sheetData>
    <row r="2" spans="2:23">
      <c r="B2" s="55" t="s">
        <v>25</v>
      </c>
      <c r="C2" s="53"/>
      <c r="D2" s="53"/>
      <c r="E2" s="53"/>
      <c r="F2" s="53"/>
      <c r="H2" s="53"/>
      <c r="I2" s="53"/>
      <c r="J2" s="53"/>
      <c r="K2" s="53"/>
      <c r="O2" s="53"/>
      <c r="P2" s="53"/>
      <c r="Q2" s="53"/>
      <c r="S2" s="53"/>
      <c r="T2" s="53"/>
      <c r="U2" s="53"/>
      <c r="V2" s="53"/>
      <c r="W2" s="53"/>
    </row>
    <row r="3" spans="2:23">
      <c r="B3" s="52" t="s">
        <v>26</v>
      </c>
      <c r="C3" s="53"/>
      <c r="D3" s="53"/>
      <c r="E3" s="53"/>
      <c r="F3" s="53"/>
      <c r="H3" s="53"/>
      <c r="I3" s="53"/>
      <c r="J3" s="53"/>
      <c r="K3" s="53"/>
      <c r="O3" s="53"/>
      <c r="P3" s="53"/>
      <c r="Q3" s="53"/>
      <c r="S3" s="53"/>
      <c r="T3" s="53"/>
      <c r="U3" s="53"/>
      <c r="V3" s="53"/>
      <c r="W3" s="53"/>
    </row>
    <row r="4" spans="2:23" s="28" customFormat="1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2:23">
      <c r="B5" s="55"/>
      <c r="C5" s="53"/>
      <c r="D5" s="53"/>
      <c r="E5" s="5" t="s">
        <v>27</v>
      </c>
      <c r="F5" s="1" t="s">
        <v>28</v>
      </c>
      <c r="G5" s="1"/>
      <c r="H5" s="1"/>
      <c r="I5" s="1" t="s">
        <v>28</v>
      </c>
      <c r="J5" s="1"/>
      <c r="K5" s="1"/>
      <c r="L5" s="1"/>
      <c r="M5" s="1"/>
      <c r="N5" s="1"/>
      <c r="O5" s="1" t="s">
        <v>28</v>
      </c>
      <c r="P5" s="53"/>
      <c r="Q5" s="53"/>
      <c r="R5" s="53" t="s">
        <v>29</v>
      </c>
      <c r="S5" s="53"/>
      <c r="T5" s="53"/>
      <c r="U5" s="53"/>
      <c r="V5" s="53"/>
      <c r="W5" s="53"/>
    </row>
    <row r="6" spans="2:23">
      <c r="B6" s="53" t="s">
        <v>30</v>
      </c>
      <c r="C6" s="91" t="s">
        <v>31</v>
      </c>
      <c r="D6" s="92"/>
      <c r="E6" s="93"/>
      <c r="F6" s="89"/>
      <c r="G6" s="94" t="s">
        <v>32</v>
      </c>
      <c r="H6" s="95"/>
      <c r="I6" s="89"/>
      <c r="J6" s="94" t="s">
        <v>33</v>
      </c>
      <c r="K6" s="95"/>
      <c r="L6" s="89"/>
      <c r="M6" s="94" t="s">
        <v>34</v>
      </c>
      <c r="N6" s="95"/>
      <c r="O6" s="89"/>
      <c r="P6" s="94" t="s">
        <v>35</v>
      </c>
      <c r="Q6" s="95"/>
      <c r="R6" s="90" t="s">
        <v>36</v>
      </c>
      <c r="S6" s="6" t="s">
        <v>37</v>
      </c>
      <c r="T6" s="53"/>
      <c r="U6" s="53"/>
      <c r="V6" s="53"/>
      <c r="W6" s="53"/>
    </row>
    <row r="7" spans="2:23">
      <c r="B7" s="6" t="s">
        <v>38</v>
      </c>
      <c r="C7" s="7" t="s">
        <v>39</v>
      </c>
      <c r="D7" s="9" t="s">
        <v>40</v>
      </c>
      <c r="E7" s="8" t="s">
        <v>41</v>
      </c>
      <c r="F7" s="7" t="s">
        <v>42</v>
      </c>
      <c r="G7" s="62" t="s">
        <v>43</v>
      </c>
      <c r="H7" s="63" t="s">
        <v>44</v>
      </c>
      <c r="I7" s="7" t="s">
        <v>33</v>
      </c>
      <c r="J7" s="62" t="s">
        <v>43</v>
      </c>
      <c r="K7" s="63" t="s">
        <v>44</v>
      </c>
      <c r="L7" s="7" t="s">
        <v>45</v>
      </c>
      <c r="M7" s="62" t="s">
        <v>43</v>
      </c>
      <c r="N7" s="63" t="s">
        <v>44</v>
      </c>
      <c r="O7" s="7" t="s">
        <v>46</v>
      </c>
      <c r="P7" s="62" t="s">
        <v>43</v>
      </c>
      <c r="Q7" s="63" t="s">
        <v>44</v>
      </c>
      <c r="R7" s="63" t="s">
        <v>47</v>
      </c>
      <c r="S7" s="10" t="s">
        <v>48</v>
      </c>
      <c r="T7" s="1" t="s">
        <v>49</v>
      </c>
      <c r="U7" s="53"/>
      <c r="V7" s="53"/>
      <c r="W7" s="53"/>
    </row>
    <row r="8" spans="2:23">
      <c r="B8" s="77" t="s">
        <v>50</v>
      </c>
      <c r="C8" s="78">
        <v>2955.87</v>
      </c>
      <c r="D8" s="79">
        <v>0</v>
      </c>
      <c r="E8" s="80">
        <v>361.35</v>
      </c>
      <c r="F8" s="78">
        <v>-782.21</v>
      </c>
      <c r="G8" s="79">
        <v>2</v>
      </c>
      <c r="H8" s="80">
        <v>2.5099999999999998</v>
      </c>
      <c r="I8" s="81">
        <v>-230.48</v>
      </c>
      <c r="J8" s="79">
        <v>2.2000000000000002</v>
      </c>
      <c r="K8" s="82">
        <v>5.5</v>
      </c>
      <c r="L8" s="81"/>
      <c r="M8" s="79"/>
      <c r="N8" s="82"/>
      <c r="O8" s="83">
        <v>23.23</v>
      </c>
      <c r="P8" s="84">
        <v>40</v>
      </c>
      <c r="Q8" s="85">
        <v>80</v>
      </c>
      <c r="R8" s="86"/>
      <c r="S8" s="87">
        <v>0.15</v>
      </c>
      <c r="T8" s="77" t="s">
        <v>50</v>
      </c>
      <c r="U8" s="53"/>
      <c r="V8" s="76"/>
      <c r="W8" s="76"/>
    </row>
    <row r="9" spans="2:23">
      <c r="B9" s="25" t="s">
        <v>51</v>
      </c>
      <c r="C9" s="70">
        <v>-1300.22</v>
      </c>
      <c r="D9" s="72">
        <v>-37.496874999999996</v>
      </c>
      <c r="E9" s="11"/>
      <c r="F9" s="70">
        <v>1398</v>
      </c>
      <c r="G9" s="57">
        <v>0.82</v>
      </c>
      <c r="H9" s="58">
        <v>0.92</v>
      </c>
      <c r="I9" s="18"/>
      <c r="J9" s="16"/>
      <c r="K9" s="15"/>
      <c r="L9" s="61">
        <v>5.55</v>
      </c>
      <c r="M9" s="59">
        <v>120</v>
      </c>
      <c r="N9" s="59">
        <v>250</v>
      </c>
      <c r="O9" s="74"/>
      <c r="P9" s="16"/>
      <c r="Q9" s="15"/>
      <c r="R9" s="15"/>
      <c r="S9" s="56">
        <v>0.25</v>
      </c>
      <c r="T9" s="25" t="s">
        <v>51</v>
      </c>
      <c r="U9" s="53"/>
      <c r="V9" s="76"/>
      <c r="W9" s="76"/>
    </row>
    <row r="10" spans="2:23">
      <c r="B10" s="25" t="s">
        <v>52</v>
      </c>
      <c r="C10" s="70">
        <v>-8409.6193270000003</v>
      </c>
      <c r="D10" s="12">
        <v>8.7675850946999994</v>
      </c>
      <c r="E10" s="11"/>
      <c r="F10" s="70">
        <v>8916.7788459999992</v>
      </c>
      <c r="G10" s="57">
        <v>0.86</v>
      </c>
      <c r="H10" s="58">
        <v>0.95</v>
      </c>
      <c r="I10" s="18"/>
      <c r="J10" s="16"/>
      <c r="K10" s="15"/>
      <c r="L10" s="59"/>
      <c r="M10" s="59"/>
      <c r="N10" s="59"/>
      <c r="O10" s="74">
        <v>14.085943</v>
      </c>
      <c r="P10" s="16">
        <v>30</v>
      </c>
      <c r="Q10" s="15">
        <v>80</v>
      </c>
      <c r="R10" s="15"/>
      <c r="S10" s="56">
        <v>0.15</v>
      </c>
      <c r="T10" s="25" t="s">
        <v>53</v>
      </c>
      <c r="U10" s="53"/>
      <c r="V10" s="76"/>
      <c r="W10" s="76"/>
    </row>
    <row r="11" spans="2:23">
      <c r="B11" s="26" t="s">
        <v>54</v>
      </c>
      <c r="C11" s="73">
        <v>-1247.5379290000001</v>
      </c>
      <c r="D11" s="14">
        <v>0</v>
      </c>
      <c r="E11" s="13"/>
      <c r="F11" s="71">
        <v>2332.5061959999998</v>
      </c>
      <c r="G11" s="65">
        <v>0.57999999999999996</v>
      </c>
      <c r="H11" s="66">
        <v>0.7</v>
      </c>
      <c r="I11" s="19"/>
      <c r="J11" s="17"/>
      <c r="K11" s="20"/>
      <c r="L11" s="60"/>
      <c r="M11" s="60"/>
      <c r="N11" s="60"/>
      <c r="O11" s="75">
        <v>9.0676509999999997</v>
      </c>
      <c r="P11" s="17">
        <v>30</v>
      </c>
      <c r="Q11" s="20">
        <v>65</v>
      </c>
      <c r="R11" s="13">
        <v>473.20474000000002</v>
      </c>
      <c r="S11" s="64">
        <v>0.15</v>
      </c>
      <c r="T11" s="26" t="s">
        <v>53</v>
      </c>
      <c r="U11" s="53"/>
      <c r="V11" s="76"/>
      <c r="W11" s="76"/>
    </row>
    <row r="12" spans="2:23">
      <c r="B12" s="53"/>
      <c r="C12" s="53"/>
      <c r="D12" s="53"/>
      <c r="E12" s="53"/>
      <c r="F12" s="53"/>
      <c r="H12" s="53"/>
      <c r="I12" s="53"/>
      <c r="J12" s="53"/>
      <c r="K12" s="53"/>
      <c r="O12" s="53"/>
      <c r="P12" s="53"/>
      <c r="Q12" s="53"/>
      <c r="S12" s="53"/>
      <c r="T12" s="53"/>
      <c r="U12" s="53"/>
      <c r="V12" s="53"/>
      <c r="W12" s="53"/>
    </row>
    <row r="13" spans="2:23">
      <c r="B13" s="53"/>
      <c r="C13" s="23"/>
      <c r="D13" s="53"/>
      <c r="E13" s="53"/>
      <c r="F13" s="53"/>
      <c r="H13" s="53"/>
      <c r="I13" s="53"/>
      <c r="J13" s="53"/>
      <c r="K13" s="53"/>
      <c r="O13" s="53"/>
      <c r="P13" s="53"/>
      <c r="Q13" s="53"/>
      <c r="S13" s="53"/>
      <c r="T13" s="53"/>
      <c r="U13" s="53"/>
      <c r="V13" s="53"/>
      <c r="W13" s="53"/>
    </row>
    <row r="14" spans="2:23">
      <c r="B14" s="53"/>
      <c r="C14" s="23"/>
      <c r="D14" s="53"/>
      <c r="E14" s="53"/>
      <c r="F14" s="53"/>
      <c r="H14" s="53"/>
      <c r="I14" s="53"/>
      <c r="J14" s="53"/>
      <c r="K14" s="53"/>
      <c r="O14" s="53"/>
      <c r="P14" s="53"/>
      <c r="Q14" s="53"/>
      <c r="S14" s="53"/>
      <c r="T14" s="53"/>
      <c r="U14" s="53"/>
      <c r="V14" s="53"/>
      <c r="W14" s="53"/>
    </row>
  </sheetData>
  <mergeCells count="5">
    <mergeCell ref="C6:E6"/>
    <mergeCell ref="J6:K6"/>
    <mergeCell ref="P6:Q6"/>
    <mergeCell ref="G6:H6"/>
    <mergeCell ref="M6:N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W103"/>
  <sheetViews>
    <sheetView zoomScaleNormal="100" workbookViewId="0"/>
  </sheetViews>
  <sheetFormatPr defaultRowHeight="15"/>
  <cols>
    <col min="1" max="1" width="32.28515625" bestFit="1" customWidth="1"/>
    <col min="2" max="2" width="11.140625" bestFit="1" customWidth="1"/>
    <col min="3" max="3" width="16.28515625" bestFit="1" customWidth="1"/>
    <col min="4" max="4" width="12.7109375" bestFit="1" customWidth="1"/>
    <col min="6" max="6" width="11.85546875" bestFit="1" customWidth="1"/>
    <col min="7" max="7" width="10.140625" bestFit="1" customWidth="1"/>
    <col min="8" max="8" width="8" bestFit="1" customWidth="1"/>
    <col min="9" max="9" width="24.42578125" bestFit="1" customWidth="1"/>
    <col min="10" max="10" width="8.140625" bestFit="1" customWidth="1"/>
    <col min="11" max="11" width="12.85546875" bestFit="1" customWidth="1"/>
    <col min="12" max="12" width="16.42578125" customWidth="1"/>
    <col min="13" max="13" width="18.7109375" customWidth="1"/>
    <col min="14" max="14" width="55.28515625" customWidth="1"/>
    <col min="15" max="15" width="24.5703125" customWidth="1"/>
    <col min="16" max="16" width="14.85546875" customWidth="1"/>
    <col min="18" max="18" width="11.85546875" customWidth="1"/>
    <col min="23" max="23" width="37.42578125" customWidth="1"/>
    <col min="32" max="32" width="11.85546875" bestFit="1" customWidth="1"/>
    <col min="38" max="38" width="29.28515625" bestFit="1" customWidth="1"/>
  </cols>
  <sheetData>
    <row r="1" spans="1:23">
      <c r="A1" s="55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>
      <c r="A2" s="53" t="s">
        <v>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>
      <c r="A3" s="53" t="s">
        <v>57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>
      <c r="A4" s="53" t="s">
        <v>58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>
      <c r="A5" s="53" t="s">
        <v>59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21" t="s">
        <v>60</v>
      </c>
      <c r="S6" s="21" t="s">
        <v>61</v>
      </c>
      <c r="T6" s="53"/>
      <c r="U6" s="27" t="s">
        <v>62</v>
      </c>
      <c r="V6" s="53"/>
      <c r="W6" s="53"/>
    </row>
    <row r="7" spans="1:23" ht="15.75" thickBot="1">
      <c r="A7" s="54" t="s">
        <v>63</v>
      </c>
      <c r="B7" s="54" t="s">
        <v>64</v>
      </c>
      <c r="C7" s="54" t="s">
        <v>65</v>
      </c>
      <c r="D7" s="54" t="s">
        <v>66</v>
      </c>
      <c r="E7" s="54" t="s">
        <v>67</v>
      </c>
      <c r="F7" s="54" t="s">
        <v>68</v>
      </c>
      <c r="G7" s="54" t="s">
        <v>69</v>
      </c>
      <c r="H7" s="54" t="s">
        <v>70</v>
      </c>
      <c r="I7" s="54" t="s">
        <v>71</v>
      </c>
      <c r="J7" s="54" t="s">
        <v>72</v>
      </c>
      <c r="K7" s="54" t="s">
        <v>73</v>
      </c>
      <c r="L7" s="54" t="s">
        <v>74</v>
      </c>
      <c r="M7" s="54" t="s">
        <v>75</v>
      </c>
      <c r="N7" s="53"/>
      <c r="O7" s="53"/>
      <c r="P7" s="53"/>
      <c r="Q7" s="53"/>
      <c r="R7" s="22" t="s">
        <v>61</v>
      </c>
      <c r="S7" s="22" t="s">
        <v>76</v>
      </c>
      <c r="T7" s="53"/>
      <c r="U7" s="68" t="s">
        <v>60</v>
      </c>
      <c r="V7" s="53"/>
      <c r="W7" s="53"/>
    </row>
    <row r="8" spans="1:23">
      <c r="A8" s="53" t="s">
        <v>77</v>
      </c>
      <c r="B8" s="53" t="s">
        <v>78</v>
      </c>
      <c r="C8" s="53" t="s">
        <v>79</v>
      </c>
      <c r="D8" s="53">
        <v>0.82</v>
      </c>
      <c r="E8" s="53">
        <v>150</v>
      </c>
      <c r="F8" s="53">
        <v>0</v>
      </c>
      <c r="G8" s="53">
        <v>0.82</v>
      </c>
      <c r="H8" s="53">
        <v>0</v>
      </c>
      <c r="I8" s="53">
        <v>0</v>
      </c>
      <c r="J8" s="53">
        <v>350</v>
      </c>
      <c r="K8" s="53">
        <v>0.67</v>
      </c>
      <c r="L8" s="53">
        <v>75</v>
      </c>
      <c r="M8" s="53" t="s">
        <v>80</v>
      </c>
      <c r="N8" s="53"/>
      <c r="O8" s="53"/>
      <c r="P8" s="53"/>
      <c r="Q8" s="53"/>
      <c r="R8" s="67" t="s">
        <v>51</v>
      </c>
      <c r="S8" s="53">
        <f>IFERROR(MATCH(R8,'CostModel Coef'!$B$8:$B$11,0),0)</f>
        <v>2</v>
      </c>
      <c r="T8" s="53"/>
      <c r="U8" s="53">
        <f>ROUND((INDEX('CostModel Coef'!$C$8:$C$11,S8)+INDEX('CostModel Coef'!$D$8:$D$11,S8)+INDEX('CostModel Coef'!$F$8:$F$11,S8)*D8+INDEX('CostModel Coef'!$L$8:$L$11,S8)*E8)*(1+INDEX('CostModel Coef'!$S$8:$S$12,S8)),2)</f>
        <v>801.43</v>
      </c>
      <c r="V8" s="53"/>
      <c r="W8" s="53"/>
    </row>
    <row r="9" spans="1:23">
      <c r="A9" s="53" t="s">
        <v>81</v>
      </c>
      <c r="B9" s="53" t="s">
        <v>78</v>
      </c>
      <c r="C9" s="53" t="s">
        <v>79</v>
      </c>
      <c r="D9" s="53">
        <v>0.84</v>
      </c>
      <c r="E9" s="53">
        <v>150</v>
      </c>
      <c r="F9" s="53">
        <v>0</v>
      </c>
      <c r="G9" s="53">
        <v>0.84</v>
      </c>
      <c r="H9" s="53">
        <v>0</v>
      </c>
      <c r="I9" s="53">
        <v>0</v>
      </c>
      <c r="J9" s="53">
        <v>350</v>
      </c>
      <c r="K9" s="53">
        <v>0.67</v>
      </c>
      <c r="L9" s="53">
        <v>75</v>
      </c>
      <c r="M9" s="53" t="s">
        <v>82</v>
      </c>
      <c r="N9" s="53"/>
      <c r="O9" s="53"/>
      <c r="P9" s="53"/>
      <c r="Q9" s="53"/>
      <c r="R9" s="67" t="s">
        <v>51</v>
      </c>
      <c r="S9" s="53">
        <f>IFERROR(MATCH(R9,'CostModel Coef'!$B$8:$B$11,0),0)</f>
        <v>2</v>
      </c>
      <c r="T9" s="53"/>
      <c r="U9" s="53">
        <f>ROUND((INDEX('CostModel Coef'!$C$8:$C$11,S9)+INDEX('CostModel Coef'!$D$8:$D$11,S9)+INDEX('CostModel Coef'!$F$8:$F$11,S9)*D9+INDEX('CostModel Coef'!$L$8:$L$11,S9)*E9)*(1+INDEX('CostModel Coef'!$S$8:$S$12,S9)),2)</f>
        <v>836.38</v>
      </c>
      <c r="V9" s="53"/>
      <c r="W9" s="53"/>
    </row>
    <row r="10" spans="1:23" s="31" customFormat="1">
      <c r="A10" s="31" t="s">
        <v>83</v>
      </c>
      <c r="B10" s="31" t="s">
        <v>78</v>
      </c>
      <c r="C10" s="31" t="s">
        <v>79</v>
      </c>
      <c r="D10" s="31">
        <v>0.92</v>
      </c>
      <c r="E10" s="31">
        <v>150</v>
      </c>
      <c r="F10" s="31">
        <v>0</v>
      </c>
      <c r="G10" s="31">
        <v>0.92</v>
      </c>
      <c r="H10" s="31">
        <v>0</v>
      </c>
      <c r="I10" s="31">
        <v>50</v>
      </c>
      <c r="J10" s="31">
        <v>350</v>
      </c>
      <c r="K10" s="31">
        <v>0.67</v>
      </c>
      <c r="L10" s="31">
        <v>75</v>
      </c>
      <c r="M10" s="31" t="s">
        <v>84</v>
      </c>
      <c r="R10" s="67" t="s">
        <v>51</v>
      </c>
      <c r="S10" s="53">
        <f>IFERROR(MATCH(R10,'CostModel Coef'!$B$8:$B$11,0),0)</f>
        <v>2</v>
      </c>
      <c r="U10" s="53">
        <f>ROUND((INDEX('CostModel Coef'!$C$8:$C$11,S10)+INDEX('CostModel Coef'!$D$8:$D$11,S10)+INDEX('CostModel Coef'!$F$8:$F$11,S10)*D10+INDEX('CostModel Coef'!$L$8:$L$11,S10)*E10)*(1+INDEX('CostModel Coef'!$S$8:$S$12,S10)),2)</f>
        <v>976.18</v>
      </c>
      <c r="W10" s="53"/>
    </row>
    <row r="11" spans="1:23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hidden="1">
      <c r="A12" s="55" t="s">
        <v>55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hidden="1">
      <c r="A13" s="53" t="s">
        <v>56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hidden="1">
      <c r="A14" s="53" t="s">
        <v>85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 hidden="1">
      <c r="A15" s="53" t="s">
        <v>86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 hidden="1">
      <c r="A16" s="53" t="s">
        <v>59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 hidden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21" t="s">
        <v>60</v>
      </c>
      <c r="S17" s="21" t="s">
        <v>61</v>
      </c>
      <c r="T17" s="53"/>
      <c r="U17" s="27" t="s">
        <v>62</v>
      </c>
      <c r="V17" s="53"/>
      <c r="W17" s="53"/>
    </row>
    <row r="18" spans="1:23" ht="15.75" hidden="1" thickBot="1">
      <c r="A18" s="54" t="s">
        <v>63</v>
      </c>
      <c r="B18" s="54" t="s">
        <v>64</v>
      </c>
      <c r="C18" s="54" t="s">
        <v>87</v>
      </c>
      <c r="D18" s="54" t="s">
        <v>66</v>
      </c>
      <c r="E18" s="54" t="s">
        <v>68</v>
      </c>
      <c r="F18" s="54" t="s">
        <v>69</v>
      </c>
      <c r="G18" s="54" t="s">
        <v>88</v>
      </c>
      <c r="H18" s="54" t="s">
        <v>89</v>
      </c>
      <c r="I18" s="54" t="s">
        <v>90</v>
      </c>
      <c r="J18" s="54" t="s">
        <v>91</v>
      </c>
      <c r="K18" s="54" t="s">
        <v>70</v>
      </c>
      <c r="L18" s="54" t="s">
        <v>71</v>
      </c>
      <c r="M18" s="54" t="s">
        <v>72</v>
      </c>
      <c r="N18" s="54" t="s">
        <v>73</v>
      </c>
      <c r="O18" s="54" t="s">
        <v>75</v>
      </c>
      <c r="P18" s="53"/>
      <c r="Q18" s="53"/>
      <c r="R18" s="22" t="s">
        <v>61</v>
      </c>
      <c r="S18" s="22" t="s">
        <v>76</v>
      </c>
      <c r="T18" s="53"/>
      <c r="U18" s="68" t="s">
        <v>60</v>
      </c>
      <c r="V18" s="53"/>
      <c r="W18" s="53"/>
    </row>
    <row r="19" spans="1:23" hidden="1">
      <c r="A19" s="53" t="s">
        <v>92</v>
      </c>
      <c r="B19" s="53" t="s">
        <v>78</v>
      </c>
      <c r="C19" s="53">
        <v>30</v>
      </c>
      <c r="D19" s="53">
        <v>2</v>
      </c>
      <c r="E19" s="53">
        <v>4.5</v>
      </c>
      <c r="F19" s="53">
        <v>0.98</v>
      </c>
      <c r="G19" s="53">
        <v>4.2</v>
      </c>
      <c r="H19" s="53">
        <v>45</v>
      </c>
      <c r="I19" s="53">
        <v>115</v>
      </c>
      <c r="J19" s="53">
        <v>15</v>
      </c>
      <c r="K19" s="53">
        <v>0</v>
      </c>
      <c r="L19" s="53">
        <v>0</v>
      </c>
      <c r="M19" s="53">
        <v>0</v>
      </c>
      <c r="N19" s="53">
        <v>0</v>
      </c>
      <c r="O19" s="53" t="s">
        <v>93</v>
      </c>
      <c r="P19" s="36" t="s">
        <v>94</v>
      </c>
      <c r="Q19" s="53"/>
      <c r="R19" s="67" t="s">
        <v>50</v>
      </c>
      <c r="S19" s="53">
        <f>IFERROR(MATCH(R19,'CostModel Coef'!$B$8:$B$11,0),0)</f>
        <v>1</v>
      </c>
      <c r="T19" s="53"/>
      <c r="U19" s="69">
        <f>ROUND((INDEX('CostModel Coef'!$C$8:$C$11,S19)+INDEX('CostModel Coef'!$D$8:$D$11,S19)+INDEX('CostModel Coef'!$E$8:$E$11,S19)+INDEX('CostModel Coef'!$F$8:$F$11,S19)*D19+INDEX('CostModel Coef'!$I$8:$I$11,S19)*E19+INDEX('CostModel Coef'!$O$8:$O$11,S19)*C19)*(1+INDEX('CostModel Coef'!$S$8:$S$12,S19)),2)</f>
        <v>1624.42</v>
      </c>
      <c r="V19" s="53"/>
      <c r="W19" s="53"/>
    </row>
    <row r="20" spans="1:23" hidden="1">
      <c r="A20" s="53" t="s">
        <v>95</v>
      </c>
      <c r="B20" s="53" t="s">
        <v>78</v>
      </c>
      <c r="C20" s="53">
        <v>30</v>
      </c>
      <c r="D20" s="53">
        <v>2.2000000000000002</v>
      </c>
      <c r="E20" s="53">
        <v>4.5</v>
      </c>
      <c r="F20" s="53">
        <v>0.98</v>
      </c>
      <c r="G20" s="53">
        <v>4.2</v>
      </c>
      <c r="H20" s="53">
        <v>45</v>
      </c>
      <c r="I20" s="53">
        <v>115</v>
      </c>
      <c r="J20" s="53">
        <v>15</v>
      </c>
      <c r="K20" s="53">
        <v>0</v>
      </c>
      <c r="L20" s="53">
        <v>0</v>
      </c>
      <c r="M20" s="53">
        <v>0</v>
      </c>
      <c r="N20" s="53">
        <v>0</v>
      </c>
      <c r="O20" s="53" t="s">
        <v>96</v>
      </c>
      <c r="P20" s="36" t="s">
        <v>94</v>
      </c>
      <c r="Q20" s="53"/>
      <c r="R20" s="67" t="s">
        <v>50</v>
      </c>
      <c r="S20" s="53">
        <f>IFERROR(MATCH(R20,'CostModel Coef'!$B$8:$B$11,0),0)</f>
        <v>1</v>
      </c>
      <c r="T20" s="53"/>
      <c r="U20" s="69">
        <f>ROUND((INDEX('CostModel Coef'!$C$8:$C$11,S20)+INDEX('CostModel Coef'!$D$8:$D$11,S20)+INDEX('CostModel Coef'!$E$8:$E$11,S20)+INDEX('CostModel Coef'!$F$8:$F$11,S20)*D20+INDEX('CostModel Coef'!$I$8:$I$11,S20)*E20+INDEX('CostModel Coef'!$O$8:$O$11,S20)*C20)*(1+INDEX('CostModel Coef'!$S$8:$S$12,S20)),2)</f>
        <v>1444.51</v>
      </c>
      <c r="V20" s="53"/>
      <c r="W20" s="53"/>
    </row>
    <row r="21" spans="1:23" hidden="1">
      <c r="A21" s="53" t="s">
        <v>97</v>
      </c>
      <c r="B21" s="53" t="s">
        <v>78</v>
      </c>
      <c r="C21" s="53">
        <v>30</v>
      </c>
      <c r="D21" s="53">
        <v>2.4</v>
      </c>
      <c r="E21" s="53">
        <v>4.5</v>
      </c>
      <c r="F21" s="53">
        <v>0.98</v>
      </c>
      <c r="G21" s="53">
        <v>4.2</v>
      </c>
      <c r="H21" s="53">
        <v>45</v>
      </c>
      <c r="I21" s="53">
        <v>115</v>
      </c>
      <c r="J21" s="53">
        <v>15</v>
      </c>
      <c r="K21" s="53">
        <v>0</v>
      </c>
      <c r="L21" s="53">
        <v>0</v>
      </c>
      <c r="M21" s="53">
        <v>0</v>
      </c>
      <c r="N21" s="53">
        <v>0</v>
      </c>
      <c r="O21" s="53" t="s">
        <v>98</v>
      </c>
      <c r="P21" s="36" t="s">
        <v>94</v>
      </c>
      <c r="Q21" s="53"/>
      <c r="R21" s="67" t="s">
        <v>50</v>
      </c>
      <c r="S21" s="53">
        <f>IFERROR(MATCH(R21,'CostModel Coef'!$B$8:$B$11,0),0)</f>
        <v>1</v>
      </c>
      <c r="T21" s="53"/>
      <c r="U21" s="69">
        <f>ROUND((INDEX('CostModel Coef'!$C$8:$C$11,S21)+INDEX('CostModel Coef'!$D$8:$D$11,S21)+INDEX('CostModel Coef'!$E$8:$E$11,S21)+INDEX('CostModel Coef'!$F$8:$F$11,S21)*D21+INDEX('CostModel Coef'!$I$8:$I$11,S21)*E21+INDEX('CostModel Coef'!$O$8:$O$11,S21)*C21)*(1+INDEX('CostModel Coef'!$S$8:$S$12,S21)),2)</f>
        <v>1264.5999999999999</v>
      </c>
      <c r="V21" s="53"/>
      <c r="W21" s="53"/>
    </row>
    <row r="22" spans="1:23" hidden="1">
      <c r="A22" s="53" t="s">
        <v>99</v>
      </c>
      <c r="B22" s="53" t="s">
        <v>78</v>
      </c>
      <c r="C22" s="53">
        <v>40</v>
      </c>
      <c r="D22" s="53">
        <v>2</v>
      </c>
      <c r="E22" s="53">
        <v>4.5</v>
      </c>
      <c r="F22" s="53">
        <v>0.98</v>
      </c>
      <c r="G22" s="53">
        <v>4.2</v>
      </c>
      <c r="H22" s="53">
        <v>45</v>
      </c>
      <c r="I22" s="53">
        <v>115</v>
      </c>
      <c r="J22" s="53">
        <v>16.6666666666667</v>
      </c>
      <c r="K22" s="53">
        <v>0</v>
      </c>
      <c r="L22" s="53">
        <v>0</v>
      </c>
      <c r="M22" s="53">
        <v>0</v>
      </c>
      <c r="N22" s="53">
        <v>0</v>
      </c>
      <c r="O22" s="53" t="s">
        <v>100</v>
      </c>
      <c r="P22" s="36" t="s">
        <v>94</v>
      </c>
      <c r="Q22" s="53"/>
      <c r="R22" s="67" t="s">
        <v>50</v>
      </c>
      <c r="S22" s="53">
        <f>IFERROR(MATCH(R22,'CostModel Coef'!$B$8:$B$11,0),0)</f>
        <v>1</v>
      </c>
      <c r="T22" s="53"/>
      <c r="U22" s="69">
        <f>ROUND((INDEX('CostModel Coef'!$C$8:$C$11,S22)+INDEX('CostModel Coef'!$D$8:$D$11,S22)+INDEX('CostModel Coef'!$E$8:$E$11,S22)+INDEX('CostModel Coef'!$F$8:$F$11,S22)*D22+INDEX('CostModel Coef'!$I$8:$I$11,S22)*E22+INDEX('CostModel Coef'!$O$8:$O$11,S22)*C22)*(1+INDEX('CostModel Coef'!$S$8:$S$12,S22)),2)</f>
        <v>1891.57</v>
      </c>
      <c r="V22" s="53"/>
      <c r="W22" s="53"/>
    </row>
    <row r="23" spans="1:23" hidden="1">
      <c r="A23" s="53" t="s">
        <v>101</v>
      </c>
      <c r="B23" s="53" t="s">
        <v>78</v>
      </c>
      <c r="C23" s="53">
        <v>40</v>
      </c>
      <c r="D23" s="53">
        <v>2.2000000000000002</v>
      </c>
      <c r="E23" s="53">
        <v>4.5</v>
      </c>
      <c r="F23" s="53">
        <v>0.98</v>
      </c>
      <c r="G23" s="53">
        <v>4.2</v>
      </c>
      <c r="H23" s="53">
        <v>45</v>
      </c>
      <c r="I23" s="53">
        <v>115</v>
      </c>
      <c r="J23" s="53">
        <v>16.6666666666667</v>
      </c>
      <c r="K23" s="53">
        <v>0</v>
      </c>
      <c r="L23" s="53">
        <v>0</v>
      </c>
      <c r="M23" s="53">
        <v>0</v>
      </c>
      <c r="N23" s="53">
        <v>0</v>
      </c>
      <c r="O23" s="53" t="s">
        <v>102</v>
      </c>
      <c r="P23" s="36" t="s">
        <v>94</v>
      </c>
      <c r="Q23" s="53"/>
      <c r="R23" s="67" t="s">
        <v>50</v>
      </c>
      <c r="S23" s="53">
        <f>IFERROR(MATCH(R23,'CostModel Coef'!$B$8:$B$11,0),0)</f>
        <v>1</v>
      </c>
      <c r="T23" s="53"/>
      <c r="U23" s="69">
        <f>ROUND((INDEX('CostModel Coef'!$C$8:$C$11,S23)+INDEX('CostModel Coef'!$D$8:$D$11,S23)+INDEX('CostModel Coef'!$E$8:$E$11,S23)+INDEX('CostModel Coef'!$F$8:$F$11,S23)*D23+INDEX('CostModel Coef'!$I$8:$I$11,S23)*E23+INDEX('CostModel Coef'!$O$8:$O$11,S23)*C23)*(1+INDEX('CostModel Coef'!$S$8:$S$12,S23)),2)</f>
        <v>1711.66</v>
      </c>
      <c r="V23" s="53"/>
      <c r="W23" s="53"/>
    </row>
    <row r="24" spans="1:23" hidden="1">
      <c r="A24" s="53" t="s">
        <v>103</v>
      </c>
      <c r="B24" s="53" t="s">
        <v>78</v>
      </c>
      <c r="C24" s="53">
        <v>40</v>
      </c>
      <c r="D24" s="53">
        <v>2.4</v>
      </c>
      <c r="E24" s="53">
        <v>4.5</v>
      </c>
      <c r="F24" s="53">
        <v>0.98</v>
      </c>
      <c r="G24" s="53">
        <v>4.2</v>
      </c>
      <c r="H24" s="53">
        <v>45</v>
      </c>
      <c r="I24" s="53">
        <v>115</v>
      </c>
      <c r="J24" s="53">
        <v>16.6666666666667</v>
      </c>
      <c r="K24" s="53">
        <v>0</v>
      </c>
      <c r="L24" s="53">
        <v>0</v>
      </c>
      <c r="M24" s="53">
        <v>0</v>
      </c>
      <c r="N24" s="53">
        <v>0</v>
      </c>
      <c r="O24" s="53" t="s">
        <v>104</v>
      </c>
      <c r="P24" s="36" t="s">
        <v>94</v>
      </c>
      <c r="Q24" s="53"/>
      <c r="R24" s="67" t="s">
        <v>50</v>
      </c>
      <c r="S24" s="53">
        <f>IFERROR(MATCH(R24,'CostModel Coef'!$B$8:$B$11,0),0)</f>
        <v>1</v>
      </c>
      <c r="T24" s="53"/>
      <c r="U24" s="69">
        <f>ROUND((INDEX('CostModel Coef'!$C$8:$C$11,S24)+INDEX('CostModel Coef'!$D$8:$D$11,S24)+INDEX('CostModel Coef'!$E$8:$E$11,S24)+INDEX('CostModel Coef'!$F$8:$F$11,S24)*D24+INDEX('CostModel Coef'!$I$8:$I$11,S24)*E24+INDEX('CostModel Coef'!$O$8:$O$11,S24)*C24)*(1+INDEX('CostModel Coef'!$S$8:$S$12,S24)),2)</f>
        <v>1531.75</v>
      </c>
      <c r="V24" s="53"/>
      <c r="W24" s="53"/>
    </row>
    <row r="25" spans="1:23" hidden="1">
      <c r="A25" s="53" t="s">
        <v>105</v>
      </c>
      <c r="B25" s="53" t="s">
        <v>78</v>
      </c>
      <c r="C25" s="53">
        <v>50</v>
      </c>
      <c r="D25" s="53">
        <v>2</v>
      </c>
      <c r="E25" s="53">
        <v>5</v>
      </c>
      <c r="F25" s="53">
        <v>0.98</v>
      </c>
      <c r="G25" s="53">
        <v>4.2</v>
      </c>
      <c r="H25" s="53">
        <v>45</v>
      </c>
      <c r="I25" s="53">
        <v>115</v>
      </c>
      <c r="J25" s="53">
        <v>18.3333333333333</v>
      </c>
      <c r="K25" s="53">
        <v>0</v>
      </c>
      <c r="L25" s="53">
        <v>0</v>
      </c>
      <c r="M25" s="53">
        <v>0</v>
      </c>
      <c r="N25" s="53">
        <v>0</v>
      </c>
      <c r="O25" s="53" t="s">
        <v>106</v>
      </c>
      <c r="P25" s="36" t="s">
        <v>94</v>
      </c>
      <c r="Q25" s="53"/>
      <c r="R25" s="67" t="s">
        <v>50</v>
      </c>
      <c r="S25" s="53">
        <f>IFERROR(MATCH(R25,'CostModel Coef'!$B$8:$B$11,0),0)</f>
        <v>1</v>
      </c>
      <c r="T25" s="53"/>
      <c r="U25" s="69">
        <f>ROUND((INDEX('CostModel Coef'!$C$8:$C$11,S25)+INDEX('CostModel Coef'!$D$8:$D$11,S25)+INDEX('CostModel Coef'!$E$8:$E$11,S25)+INDEX('CostModel Coef'!$F$8:$F$11,S25)*D25+INDEX('CostModel Coef'!$I$8:$I$11,S25)*E25+INDEX('CostModel Coef'!$O$8:$O$11,S25)*C25)*(1+INDEX('CostModel Coef'!$S$8:$S$12,S25)),2)</f>
        <v>2026.19</v>
      </c>
      <c r="V25" s="53"/>
      <c r="W25" s="53"/>
    </row>
    <row r="26" spans="1:23" hidden="1">
      <c r="A26" s="53" t="s">
        <v>107</v>
      </c>
      <c r="B26" s="53" t="s">
        <v>78</v>
      </c>
      <c r="C26" s="53">
        <v>50</v>
      </c>
      <c r="D26" s="53">
        <v>2.2000000000000002</v>
      </c>
      <c r="E26" s="53">
        <v>5</v>
      </c>
      <c r="F26" s="53">
        <v>0.98</v>
      </c>
      <c r="G26" s="53">
        <v>4.2</v>
      </c>
      <c r="H26" s="53">
        <v>45</v>
      </c>
      <c r="I26" s="53">
        <v>115</v>
      </c>
      <c r="J26" s="53">
        <v>18.3333333333333</v>
      </c>
      <c r="K26" s="53">
        <v>0</v>
      </c>
      <c r="L26" s="53">
        <v>0</v>
      </c>
      <c r="M26" s="53">
        <v>0</v>
      </c>
      <c r="N26" s="53">
        <v>0</v>
      </c>
      <c r="O26" s="53" t="s">
        <v>108</v>
      </c>
      <c r="P26" s="36" t="s">
        <v>94</v>
      </c>
      <c r="Q26" s="53"/>
      <c r="R26" s="67" t="s">
        <v>50</v>
      </c>
      <c r="S26" s="53">
        <f>IFERROR(MATCH(R26,'CostModel Coef'!$B$8:$B$11,0),0)</f>
        <v>1</v>
      </c>
      <c r="T26" s="53"/>
      <c r="U26" s="69">
        <f>ROUND((INDEX('CostModel Coef'!$C$8:$C$11,S26)+INDEX('CostModel Coef'!$D$8:$D$11,S26)+INDEX('CostModel Coef'!$E$8:$E$11,S26)+INDEX('CostModel Coef'!$F$8:$F$11,S26)*D26+INDEX('CostModel Coef'!$I$8:$I$11,S26)*E26+INDEX('CostModel Coef'!$O$8:$O$11,S26)*C26)*(1+INDEX('CostModel Coef'!$S$8:$S$12,S26)),2)</f>
        <v>1846.28</v>
      </c>
      <c r="V26" s="53"/>
      <c r="W26" s="53"/>
    </row>
    <row r="27" spans="1:23" hidden="1">
      <c r="A27" s="53" t="s">
        <v>109</v>
      </c>
      <c r="B27" s="53" t="s">
        <v>78</v>
      </c>
      <c r="C27" s="53">
        <v>50</v>
      </c>
      <c r="D27" s="53">
        <v>2.4</v>
      </c>
      <c r="E27" s="53">
        <v>5</v>
      </c>
      <c r="F27" s="53">
        <v>0.98</v>
      </c>
      <c r="G27" s="53">
        <v>4.2</v>
      </c>
      <c r="H27" s="53">
        <v>45</v>
      </c>
      <c r="I27" s="53">
        <v>115</v>
      </c>
      <c r="J27" s="53">
        <v>18.3333333333333</v>
      </c>
      <c r="K27" s="53">
        <v>0</v>
      </c>
      <c r="L27" s="53">
        <v>0</v>
      </c>
      <c r="M27" s="53">
        <v>0</v>
      </c>
      <c r="N27" s="53">
        <v>0</v>
      </c>
      <c r="O27" s="53" t="s">
        <v>110</v>
      </c>
      <c r="P27" s="36" t="s">
        <v>94</v>
      </c>
      <c r="Q27" s="53"/>
      <c r="R27" s="67" t="s">
        <v>50</v>
      </c>
      <c r="S27" s="53">
        <f>IFERROR(MATCH(R27,'CostModel Coef'!$B$8:$B$11,0),0)</f>
        <v>1</v>
      </c>
      <c r="T27" s="53"/>
      <c r="U27" s="69">
        <f>ROUND((INDEX('CostModel Coef'!$C$8:$C$11,S27)+INDEX('CostModel Coef'!$D$8:$D$11,S27)+INDEX('CostModel Coef'!$E$8:$E$11,S27)+INDEX('CostModel Coef'!$F$8:$F$11,S27)*D27+INDEX('CostModel Coef'!$I$8:$I$11,S27)*E27+INDEX('CostModel Coef'!$O$8:$O$11,S27)*C27)*(1+INDEX('CostModel Coef'!$S$8:$S$12,S27)),2)</f>
        <v>1666.37</v>
      </c>
      <c r="V27" s="53"/>
      <c r="W27" s="53"/>
    </row>
    <row r="28" spans="1:23" hidden="1">
      <c r="A28" s="53" t="s">
        <v>111</v>
      </c>
      <c r="B28" s="53" t="s">
        <v>78</v>
      </c>
      <c r="C28" s="53">
        <v>60</v>
      </c>
      <c r="D28" s="53">
        <v>1.98</v>
      </c>
      <c r="E28" s="53">
        <v>5.5</v>
      </c>
      <c r="F28" s="53">
        <v>0.98</v>
      </c>
      <c r="G28" s="53">
        <v>4.2</v>
      </c>
      <c r="H28" s="53">
        <v>45</v>
      </c>
      <c r="I28" s="53">
        <v>115</v>
      </c>
      <c r="J28" s="53">
        <v>20</v>
      </c>
      <c r="K28" s="53">
        <v>0</v>
      </c>
      <c r="L28" s="53">
        <v>0</v>
      </c>
      <c r="M28" s="53">
        <v>0</v>
      </c>
      <c r="N28" s="53">
        <v>0</v>
      </c>
      <c r="O28" s="53" t="s">
        <v>112</v>
      </c>
      <c r="P28" s="36" t="s">
        <v>94</v>
      </c>
      <c r="Q28" s="53"/>
      <c r="R28" s="67" t="s">
        <v>50</v>
      </c>
      <c r="S28" s="53">
        <f>IFERROR(MATCH(R28,'CostModel Coef'!$B$8:$B$11,0),0)</f>
        <v>1</v>
      </c>
      <c r="T28" s="53"/>
      <c r="U28" s="69">
        <f>ROUND((INDEX('CostModel Coef'!$C$8:$C$11,S28)+INDEX('CostModel Coef'!$D$8:$D$11,S28)+INDEX('CostModel Coef'!$E$8:$E$11,S28)+INDEX('CostModel Coef'!$F$8:$F$11,S28)*D28+INDEX('CostModel Coef'!$I$8:$I$11,S28)*E28+INDEX('CostModel Coef'!$O$8:$O$11,S28)*C28)*(1+INDEX('CostModel Coef'!$S$8:$S$12,S28)),2)</f>
        <v>2178.79</v>
      </c>
      <c r="V28" s="53"/>
      <c r="W28" s="53"/>
    </row>
    <row r="29" spans="1:23" hidden="1">
      <c r="A29" s="53" t="s">
        <v>113</v>
      </c>
      <c r="B29" s="53" t="s">
        <v>78</v>
      </c>
      <c r="C29" s="53">
        <v>60</v>
      </c>
      <c r="D29" s="53">
        <v>2.2000000000000002</v>
      </c>
      <c r="E29" s="53">
        <v>5.5</v>
      </c>
      <c r="F29" s="53">
        <v>0.98</v>
      </c>
      <c r="G29" s="53">
        <v>4.2</v>
      </c>
      <c r="H29" s="53">
        <v>45</v>
      </c>
      <c r="I29" s="53">
        <v>115</v>
      </c>
      <c r="J29" s="53">
        <v>20</v>
      </c>
      <c r="K29" s="53">
        <v>0</v>
      </c>
      <c r="L29" s="53">
        <v>0</v>
      </c>
      <c r="M29" s="53">
        <v>0</v>
      </c>
      <c r="N29" s="53">
        <v>0</v>
      </c>
      <c r="O29" s="53" t="s">
        <v>114</v>
      </c>
      <c r="P29" s="36" t="s">
        <v>94</v>
      </c>
      <c r="Q29" s="53"/>
      <c r="R29" s="67" t="s">
        <v>50</v>
      </c>
      <c r="S29" s="53">
        <f>IFERROR(MATCH(R29,'CostModel Coef'!$B$8:$B$11,0),0)</f>
        <v>1</v>
      </c>
      <c r="T29" s="53"/>
      <c r="U29" s="69">
        <f>ROUND((INDEX('CostModel Coef'!$C$8:$C$11,S29)+INDEX('CostModel Coef'!$D$8:$D$11,S29)+INDEX('CostModel Coef'!$E$8:$E$11,S29)+INDEX('CostModel Coef'!$F$8:$F$11,S29)*D29+INDEX('CostModel Coef'!$I$8:$I$11,S29)*E29+INDEX('CostModel Coef'!$O$8:$O$11,S29)*C29)*(1+INDEX('CostModel Coef'!$S$8:$S$12,S29)),2)</f>
        <v>1980.9</v>
      </c>
      <c r="V29" s="53"/>
      <c r="W29" s="53"/>
    </row>
    <row r="30" spans="1:23" hidden="1">
      <c r="A30" s="53" t="s">
        <v>115</v>
      </c>
      <c r="B30" s="53" t="s">
        <v>78</v>
      </c>
      <c r="C30" s="53">
        <v>60</v>
      </c>
      <c r="D30" s="53">
        <v>2.4</v>
      </c>
      <c r="E30" s="53">
        <v>5.5</v>
      </c>
      <c r="F30" s="53">
        <v>0.98</v>
      </c>
      <c r="G30" s="53">
        <v>4.2</v>
      </c>
      <c r="H30" s="53">
        <v>45</v>
      </c>
      <c r="I30" s="53">
        <v>115</v>
      </c>
      <c r="J30" s="53">
        <v>20</v>
      </c>
      <c r="K30" s="53">
        <v>0</v>
      </c>
      <c r="L30" s="53">
        <v>0</v>
      </c>
      <c r="M30" s="53">
        <v>0</v>
      </c>
      <c r="N30" s="53">
        <v>0</v>
      </c>
      <c r="O30" s="53" t="s">
        <v>116</v>
      </c>
      <c r="P30" s="36" t="s">
        <v>94</v>
      </c>
      <c r="Q30" s="53"/>
      <c r="R30" s="67" t="s">
        <v>50</v>
      </c>
      <c r="S30" s="53">
        <f>IFERROR(MATCH(R30,'CostModel Coef'!$B$8:$B$11,0),0)</f>
        <v>1</v>
      </c>
      <c r="T30" s="53"/>
      <c r="U30" s="69">
        <f>ROUND((INDEX('CostModel Coef'!$C$8:$C$11,S30)+INDEX('CostModel Coef'!$D$8:$D$11,S30)+INDEX('CostModel Coef'!$E$8:$E$11,S30)+INDEX('CostModel Coef'!$F$8:$F$11,S30)*D30+INDEX('CostModel Coef'!$I$8:$I$11,S30)*E30+INDEX('CostModel Coef'!$O$8:$O$11,S30)*C30)*(1+INDEX('CostModel Coef'!$S$8:$S$12,S30)),2)</f>
        <v>1800.99</v>
      </c>
      <c r="V30" s="53"/>
      <c r="W30" s="53"/>
    </row>
    <row r="31" spans="1:23" hidden="1">
      <c r="A31" s="53" t="s">
        <v>117</v>
      </c>
      <c r="B31" s="53" t="s">
        <v>78</v>
      </c>
      <c r="C31" s="53">
        <v>75</v>
      </c>
      <c r="D31" s="53">
        <v>1.96</v>
      </c>
      <c r="E31" s="53">
        <v>5.5</v>
      </c>
      <c r="F31" s="53">
        <v>0.98</v>
      </c>
      <c r="G31" s="53">
        <v>4.2</v>
      </c>
      <c r="H31" s="53">
        <v>45</v>
      </c>
      <c r="I31" s="53">
        <v>115</v>
      </c>
      <c r="J31" s="53">
        <v>25</v>
      </c>
      <c r="K31" s="53">
        <v>0</v>
      </c>
      <c r="L31" s="53">
        <v>0</v>
      </c>
      <c r="M31" s="53">
        <v>0</v>
      </c>
      <c r="N31" s="53">
        <v>0</v>
      </c>
      <c r="O31" s="53" t="s">
        <v>118</v>
      </c>
      <c r="P31" s="36" t="s">
        <v>94</v>
      </c>
      <c r="Q31" s="53"/>
      <c r="R31" s="67" t="s">
        <v>50</v>
      </c>
      <c r="S31" s="53">
        <f>IFERROR(MATCH(R31,'CostModel Coef'!$B$8:$B$11,0),0)</f>
        <v>1</v>
      </c>
      <c r="T31" s="53"/>
      <c r="U31" s="69">
        <f>ROUND((INDEX('CostModel Coef'!$C$8:$C$11,S31)+INDEX('CostModel Coef'!$D$8:$D$11,S31)+INDEX('CostModel Coef'!$E$8:$E$11,S31)+INDEX('CostModel Coef'!$F$8:$F$11,S31)*D31+INDEX('CostModel Coef'!$I$8:$I$11,S31)*E31+INDEX('CostModel Coef'!$O$8:$O$11,S31)*C31)*(1+INDEX('CostModel Coef'!$S$8:$S$12,S31)),2)</f>
        <v>2597.5</v>
      </c>
      <c r="V31" s="53"/>
      <c r="W31" s="53"/>
    </row>
    <row r="32" spans="1:23" hidden="1">
      <c r="A32" s="53" t="s">
        <v>119</v>
      </c>
      <c r="B32" s="53" t="s">
        <v>78</v>
      </c>
      <c r="C32" s="53">
        <v>75</v>
      </c>
      <c r="D32" s="53">
        <v>2.2000000000000002</v>
      </c>
      <c r="E32" s="53">
        <v>5.5</v>
      </c>
      <c r="F32" s="53">
        <v>0.98</v>
      </c>
      <c r="G32" s="53">
        <v>4.2</v>
      </c>
      <c r="H32" s="53">
        <v>45</v>
      </c>
      <c r="I32" s="53">
        <v>115</v>
      </c>
      <c r="J32" s="53">
        <v>25</v>
      </c>
      <c r="K32" s="53">
        <v>0</v>
      </c>
      <c r="L32" s="53">
        <v>0</v>
      </c>
      <c r="M32" s="53">
        <v>0</v>
      </c>
      <c r="N32" s="53">
        <v>0</v>
      </c>
      <c r="O32" s="53" t="s">
        <v>120</v>
      </c>
      <c r="P32" s="36" t="s">
        <v>94</v>
      </c>
      <c r="Q32" s="53"/>
      <c r="R32" s="67" t="s">
        <v>50</v>
      </c>
      <c r="S32" s="53">
        <f>IFERROR(MATCH(R32,'CostModel Coef'!$B$8:$B$11,0),0)</f>
        <v>1</v>
      </c>
      <c r="T32" s="53"/>
      <c r="U32" s="69">
        <f>ROUND((INDEX('CostModel Coef'!$C$8:$C$11,S32)+INDEX('CostModel Coef'!$D$8:$D$11,S32)+INDEX('CostModel Coef'!$E$8:$E$11,S32)+INDEX('CostModel Coef'!$F$8:$F$11,S32)*D32+INDEX('CostModel Coef'!$I$8:$I$11,S32)*E32+INDEX('CostModel Coef'!$O$8:$O$11,S32)*C32)*(1+INDEX('CostModel Coef'!$S$8:$S$12,S32)),2)</f>
        <v>2381.61</v>
      </c>
      <c r="V32" s="53"/>
      <c r="W32" s="53"/>
    </row>
    <row r="33" spans="1:23" hidden="1">
      <c r="A33" s="53" t="s">
        <v>121</v>
      </c>
      <c r="B33" s="53" t="s">
        <v>78</v>
      </c>
      <c r="C33" s="53">
        <v>75</v>
      </c>
      <c r="D33" s="53">
        <v>2.4</v>
      </c>
      <c r="E33" s="53">
        <v>5.5</v>
      </c>
      <c r="F33" s="53">
        <v>0.98</v>
      </c>
      <c r="G33" s="53">
        <v>4.2</v>
      </c>
      <c r="H33" s="53">
        <v>45</v>
      </c>
      <c r="I33" s="53">
        <v>115</v>
      </c>
      <c r="J33" s="53">
        <v>25</v>
      </c>
      <c r="K33" s="53">
        <v>0</v>
      </c>
      <c r="L33" s="53">
        <v>0</v>
      </c>
      <c r="M33" s="53">
        <v>0</v>
      </c>
      <c r="N33" s="53">
        <v>0</v>
      </c>
      <c r="O33" s="53" t="s">
        <v>122</v>
      </c>
      <c r="P33" s="36" t="s">
        <v>94</v>
      </c>
      <c r="Q33" s="53"/>
      <c r="R33" s="67" t="s">
        <v>50</v>
      </c>
      <c r="S33" s="53">
        <f>IFERROR(MATCH(R33,'CostModel Coef'!$B$8:$B$11,0),0)</f>
        <v>1</v>
      </c>
      <c r="T33" s="53"/>
      <c r="U33" s="69">
        <f>ROUND((INDEX('CostModel Coef'!$C$8:$C$11,S33)+INDEX('CostModel Coef'!$D$8:$D$11,S33)+INDEX('CostModel Coef'!$E$8:$E$11,S33)+INDEX('CostModel Coef'!$F$8:$F$11,S33)*D33+INDEX('CostModel Coef'!$I$8:$I$11,S33)*E33+INDEX('CostModel Coef'!$O$8:$O$11,S33)*C33)*(1+INDEX('CostModel Coef'!$S$8:$S$12,S33)),2)</f>
        <v>2201.6999999999998</v>
      </c>
      <c r="V33" s="53"/>
      <c r="W33" s="53"/>
    </row>
    <row r="34" spans="1:2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3">
      <c r="A35" s="55" t="s">
        <v>55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3">
      <c r="A36" s="53" t="s">
        <v>56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>
      <c r="A37" s="53" t="s">
        <v>123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spans="1:23">
      <c r="A38" s="53" t="s">
        <v>124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spans="1:23">
      <c r="A39" s="53" t="s">
        <v>59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spans="1:2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21" t="s">
        <v>60</v>
      </c>
      <c r="S40" s="21" t="s">
        <v>61</v>
      </c>
      <c r="T40" s="53"/>
      <c r="U40" s="27" t="s">
        <v>62</v>
      </c>
      <c r="V40" s="53"/>
      <c r="W40" s="53"/>
    </row>
    <row r="41" spans="1:23" ht="15.75" thickBot="1">
      <c r="A41" s="54" t="s">
        <v>63</v>
      </c>
      <c r="B41" s="54" t="s">
        <v>64</v>
      </c>
      <c r="C41" s="54" t="s">
        <v>65</v>
      </c>
      <c r="D41" s="54" t="s">
        <v>87</v>
      </c>
      <c r="E41" s="54" t="s">
        <v>66</v>
      </c>
      <c r="F41" s="54" t="s">
        <v>67</v>
      </c>
      <c r="G41" s="54" t="s">
        <v>68</v>
      </c>
      <c r="H41" s="54" t="s">
        <v>69</v>
      </c>
      <c r="I41" s="54" t="s">
        <v>88</v>
      </c>
      <c r="J41" s="54" t="s">
        <v>70</v>
      </c>
      <c r="K41" s="54" t="s">
        <v>71</v>
      </c>
      <c r="L41" s="54" t="s">
        <v>72</v>
      </c>
      <c r="M41" s="54" t="s">
        <v>73</v>
      </c>
      <c r="N41" s="54" t="s">
        <v>75</v>
      </c>
      <c r="O41" s="53"/>
      <c r="P41" s="53"/>
      <c r="Q41" s="53"/>
      <c r="R41" s="22" t="s">
        <v>61</v>
      </c>
      <c r="S41" s="22" t="s">
        <v>76</v>
      </c>
      <c r="T41" s="53"/>
      <c r="U41" s="68" t="s">
        <v>60</v>
      </c>
      <c r="V41" s="53"/>
      <c r="W41" s="2" t="s">
        <v>125</v>
      </c>
    </row>
    <row r="42" spans="1:23">
      <c r="A42" s="53" t="s">
        <v>126</v>
      </c>
      <c r="B42" s="53" t="s">
        <v>127</v>
      </c>
      <c r="C42" s="53" t="s">
        <v>128</v>
      </c>
      <c r="D42" s="53">
        <v>30</v>
      </c>
      <c r="E42" s="53">
        <v>0.89039999999999997</v>
      </c>
      <c r="F42" s="53">
        <v>0</v>
      </c>
      <c r="G42" s="53">
        <v>4.5</v>
      </c>
      <c r="H42" s="53">
        <v>0.98</v>
      </c>
      <c r="I42" s="53">
        <v>3.1227999999999998</v>
      </c>
      <c r="J42" s="53">
        <v>0</v>
      </c>
      <c r="K42" s="53">
        <v>0</v>
      </c>
      <c r="L42" s="53">
        <v>0</v>
      </c>
      <c r="M42" s="53">
        <v>0</v>
      </c>
      <c r="N42" s="53" t="s">
        <v>129</v>
      </c>
      <c r="O42" s="36" t="s">
        <v>94</v>
      </c>
      <c r="P42" s="53"/>
      <c r="Q42" s="53"/>
      <c r="R42" s="67" t="str">
        <f>"Stor_EF-"&amp;C42</f>
        <v>Stor_EF-Elec</v>
      </c>
      <c r="S42" s="24">
        <v>0</v>
      </c>
      <c r="T42" s="53"/>
      <c r="U42" s="69" t="str">
        <f>IF(S42&gt;0,ROUND((INDEX('CostModel Coef'!$C$8:$C$11,S42)+INDEX('CostModel Coef'!$D$8:$D$11,S42)+INDEX('CostModel Coef'!$F$8:$F$11,S42)*E42+INDEX('CostModel Coef'!$O$8:$O$11,S42)*D42+IF(K42&gt;10,INDEX('CostModel Coef'!$R$8:$R$11,S42),0))*(1+INDEX('CostModel Coef'!$S$8:$S$12,S42)),2),"")</f>
        <v/>
      </c>
      <c r="V42" s="53"/>
      <c r="W42" s="53" t="s">
        <v>130</v>
      </c>
    </row>
    <row r="43" spans="1:23">
      <c r="A43" s="53" t="s">
        <v>131</v>
      </c>
      <c r="B43" s="53" t="s">
        <v>78</v>
      </c>
      <c r="C43" s="53" t="s">
        <v>128</v>
      </c>
      <c r="D43" s="53">
        <v>30</v>
      </c>
      <c r="E43" s="53">
        <v>0.9304</v>
      </c>
      <c r="F43" s="53">
        <v>0</v>
      </c>
      <c r="G43" s="53">
        <v>4.5</v>
      </c>
      <c r="H43" s="53">
        <v>0.98</v>
      </c>
      <c r="I43" s="53">
        <v>1.8977999999999999</v>
      </c>
      <c r="J43" s="53">
        <v>0</v>
      </c>
      <c r="K43" s="53">
        <v>0</v>
      </c>
      <c r="L43" s="53">
        <v>0</v>
      </c>
      <c r="M43" s="53">
        <v>0</v>
      </c>
      <c r="N43" s="53" t="s">
        <v>132</v>
      </c>
      <c r="O43" s="36" t="s">
        <v>94</v>
      </c>
      <c r="P43" s="53"/>
      <c r="Q43" s="53"/>
      <c r="R43" s="67" t="str">
        <f t="shared" ref="R43:R103" si="0">"Stor_EF-"&amp;C43</f>
        <v>Stor_EF-Elec</v>
      </c>
      <c r="S43" s="53">
        <v>3</v>
      </c>
      <c r="T43" s="53"/>
      <c r="U43" s="69">
        <f>IF(S43&gt;0,ROUND((INDEX('CostModel Coef'!$C$8:$C$11,S43)+INDEX('CostModel Coef'!$D$8:$D$11,S43)+INDEX('CostModel Coef'!$F$8:$F$11,S43)*E43+INDEX('CostModel Coef'!$O$8:$O$11,S43)*D43+IF(K43&gt;10,INDEX('CostModel Coef'!$R$8:$R$11,S43),0))*(1+INDEX('CostModel Coef'!$S$8:$S$12,S43)),2),"")</f>
        <v>365.58</v>
      </c>
      <c r="V43" s="53"/>
      <c r="W43" s="53"/>
    </row>
    <row r="44" spans="1:23">
      <c r="A44" s="53" t="s">
        <v>133</v>
      </c>
      <c r="B44" s="53" t="s">
        <v>78</v>
      </c>
      <c r="C44" s="53" t="s">
        <v>128</v>
      </c>
      <c r="D44" s="53">
        <v>30</v>
      </c>
      <c r="E44" s="53">
        <v>0.95099999999999996</v>
      </c>
      <c r="F44" s="53">
        <v>0</v>
      </c>
      <c r="G44" s="53">
        <v>4.5</v>
      </c>
      <c r="H44" s="53">
        <v>0.98</v>
      </c>
      <c r="I44" s="53">
        <v>1.3071999999999999</v>
      </c>
      <c r="J44" s="53">
        <v>0</v>
      </c>
      <c r="K44" s="53">
        <v>0</v>
      </c>
      <c r="L44" s="53">
        <v>0</v>
      </c>
      <c r="M44" s="53">
        <v>0</v>
      </c>
      <c r="N44" s="53" t="s">
        <v>134</v>
      </c>
      <c r="O44" s="36" t="s">
        <v>94</v>
      </c>
      <c r="P44" s="53"/>
      <c r="Q44" s="53"/>
      <c r="R44" s="67" t="str">
        <f t="shared" si="0"/>
        <v>Stor_EF-Elec</v>
      </c>
      <c r="S44" s="53">
        <v>3</v>
      </c>
      <c r="T44" s="53"/>
      <c r="U44" s="69">
        <f>IF(S44&gt;0,ROUND((INDEX('CostModel Coef'!$C$8:$C$11,S44)+INDEX('CostModel Coef'!$D$8:$D$11,S44)+INDEX('CostModel Coef'!$F$8:$F$11,S44)*E44+INDEX('CostModel Coef'!$O$8:$O$11,S44)*D44+IF(K44&gt;10,INDEX('CostModel Coef'!$R$8:$R$11,S44),0))*(1+INDEX('CostModel Coef'!$S$8:$S$12,S44)),2),"")</f>
        <v>576.82000000000005</v>
      </c>
      <c r="V44" s="53"/>
      <c r="W44" s="53"/>
    </row>
    <row r="45" spans="1:23">
      <c r="A45" s="53" t="s">
        <v>135</v>
      </c>
      <c r="B45" s="53" t="s">
        <v>127</v>
      </c>
      <c r="C45" s="53" t="s">
        <v>128</v>
      </c>
      <c r="D45" s="53">
        <v>30</v>
      </c>
      <c r="E45" s="53">
        <v>0.95</v>
      </c>
      <c r="F45" s="53"/>
      <c r="G45" s="53"/>
      <c r="H45" s="53"/>
      <c r="I45" s="53"/>
      <c r="J45" s="53">
        <v>0</v>
      </c>
      <c r="K45" s="53">
        <v>0</v>
      </c>
      <c r="L45" s="53">
        <v>0</v>
      </c>
      <c r="M45" s="53">
        <v>0</v>
      </c>
      <c r="N45" s="53" t="s">
        <v>136</v>
      </c>
      <c r="O45" s="36" t="s">
        <v>94</v>
      </c>
      <c r="P45" s="53"/>
      <c r="Q45" s="53"/>
      <c r="R45" s="67" t="str">
        <f t="shared" si="0"/>
        <v>Stor_EF-Elec</v>
      </c>
      <c r="S45" s="53">
        <v>3</v>
      </c>
      <c r="T45" s="53"/>
      <c r="U45" s="69">
        <f>IF(S45&gt;0,ROUND((INDEX('CostModel Coef'!$C$8:$C$11,S45)+INDEX('CostModel Coef'!$D$8:$D$11,S45)+INDEX('CostModel Coef'!$F$8:$F$11,S45)*E45+INDEX('CostModel Coef'!$O$8:$O$11,S45)*D45+IF(K45&gt;10,INDEX('CostModel Coef'!$R$8:$R$11,S45),0))*(1+INDEX('CostModel Coef'!$S$8:$S$12,S45)),2),"")</f>
        <v>566.57000000000005</v>
      </c>
      <c r="V45" s="53"/>
      <c r="W45" s="53"/>
    </row>
    <row r="46" spans="1:23">
      <c r="A46" s="53" t="s">
        <v>137</v>
      </c>
      <c r="B46" s="53" t="s">
        <v>127</v>
      </c>
      <c r="C46" s="53" t="s">
        <v>128</v>
      </c>
      <c r="D46" s="53">
        <v>40</v>
      </c>
      <c r="E46" s="53">
        <v>0.87719999999999998</v>
      </c>
      <c r="F46" s="53">
        <v>0</v>
      </c>
      <c r="G46" s="53">
        <v>4.5</v>
      </c>
      <c r="H46" s="53">
        <v>0.98</v>
      </c>
      <c r="I46" s="53">
        <v>3.5516000000000001</v>
      </c>
      <c r="J46" s="53">
        <v>0</v>
      </c>
      <c r="K46" s="53">
        <v>0</v>
      </c>
      <c r="L46" s="53">
        <v>0</v>
      </c>
      <c r="M46" s="53">
        <v>0</v>
      </c>
      <c r="N46" s="53" t="s">
        <v>138</v>
      </c>
      <c r="O46" s="36" t="s">
        <v>94</v>
      </c>
      <c r="P46" s="53"/>
      <c r="Q46" s="53"/>
      <c r="R46" s="67" t="str">
        <f t="shared" si="0"/>
        <v>Stor_EF-Elec</v>
      </c>
      <c r="S46" s="24">
        <v>0</v>
      </c>
      <c r="T46" s="53"/>
      <c r="U46" s="69" t="str">
        <f>IF(S46&gt;0,ROUND((INDEX('CostModel Coef'!$C$8:$C$11,S46)+INDEX('CostModel Coef'!$D$8:$D$11,S46)+INDEX('CostModel Coef'!$F$8:$F$11,S46)*E46+INDEX('CostModel Coef'!$O$8:$O$11,S46)*D46+IF(K46&gt;10,INDEX('CostModel Coef'!$R$8:$R$11,S46),0))*(1+INDEX('CostModel Coef'!$S$8:$S$12,S46)),2),"")</f>
        <v/>
      </c>
      <c r="V46" s="53"/>
      <c r="W46" s="53" t="s">
        <v>130</v>
      </c>
    </row>
    <row r="47" spans="1:23">
      <c r="A47" s="53" t="s">
        <v>139</v>
      </c>
      <c r="B47" s="53" t="s">
        <v>78</v>
      </c>
      <c r="C47" s="53" t="s">
        <v>128</v>
      </c>
      <c r="D47" s="53">
        <v>40</v>
      </c>
      <c r="E47" s="53">
        <v>0.91720000000000002</v>
      </c>
      <c r="F47" s="53">
        <v>0</v>
      </c>
      <c r="G47" s="53">
        <v>4.5</v>
      </c>
      <c r="H47" s="53">
        <v>0.98</v>
      </c>
      <c r="I47" s="53">
        <v>2.2902999999999998</v>
      </c>
      <c r="J47" s="53">
        <v>0</v>
      </c>
      <c r="K47" s="53">
        <v>0</v>
      </c>
      <c r="L47" s="53">
        <v>0</v>
      </c>
      <c r="M47" s="53">
        <v>0</v>
      </c>
      <c r="N47" s="53" t="s">
        <v>140</v>
      </c>
      <c r="O47" s="36" t="s">
        <v>94</v>
      </c>
      <c r="P47" s="53"/>
      <c r="Q47" s="53"/>
      <c r="R47" s="67" t="str">
        <f t="shared" si="0"/>
        <v>Stor_EF-Elec</v>
      </c>
      <c r="S47" s="53">
        <v>3</v>
      </c>
      <c r="T47" s="53"/>
      <c r="U47" s="69">
        <f>IF(S47&gt;0,ROUND((INDEX('CostModel Coef'!$C$8:$C$11,S47)+INDEX('CostModel Coef'!$D$8:$D$11,S47)+INDEX('CostModel Coef'!$F$8:$F$11,S47)*E47+INDEX('CostModel Coef'!$O$8:$O$11,S47)*D47+IF(K47&gt;10,INDEX('CostModel Coef'!$R$8:$R$11,S47),0))*(1+INDEX('CostModel Coef'!$S$8:$S$12,S47)),2),"")</f>
        <v>392.21</v>
      </c>
      <c r="V47" s="53"/>
      <c r="W47" s="53"/>
    </row>
    <row r="48" spans="1:23">
      <c r="A48" s="53" t="s">
        <v>141</v>
      </c>
      <c r="B48" s="53" t="s">
        <v>78</v>
      </c>
      <c r="C48" s="53" t="s">
        <v>128</v>
      </c>
      <c r="D48" s="53">
        <v>40</v>
      </c>
      <c r="E48" s="53">
        <v>0.94799999999999995</v>
      </c>
      <c r="F48" s="53">
        <v>0</v>
      </c>
      <c r="G48" s="53">
        <v>4.5</v>
      </c>
      <c r="H48" s="53">
        <v>0.98</v>
      </c>
      <c r="I48" s="53">
        <v>1.3915999999999999</v>
      </c>
      <c r="J48" s="53">
        <v>0</v>
      </c>
      <c r="K48" s="53">
        <v>0</v>
      </c>
      <c r="L48" s="53">
        <v>0</v>
      </c>
      <c r="M48" s="53">
        <v>0</v>
      </c>
      <c r="N48" s="53" t="s">
        <v>142</v>
      </c>
      <c r="O48" s="36" t="s">
        <v>94</v>
      </c>
      <c r="P48" s="53"/>
      <c r="Q48" s="53"/>
      <c r="R48" s="67" t="str">
        <f t="shared" si="0"/>
        <v>Stor_EF-Elec</v>
      </c>
      <c r="S48" s="53">
        <v>3</v>
      </c>
      <c r="T48" s="53"/>
      <c r="U48" s="69">
        <f>IF(S48&gt;0,ROUND((INDEX('CostModel Coef'!$C$8:$C$11,S48)+INDEX('CostModel Coef'!$D$8:$D$11,S48)+INDEX('CostModel Coef'!$F$8:$F$11,S48)*E48+INDEX('CostModel Coef'!$O$8:$O$11,S48)*D48+IF(K48&gt;10,INDEX('CostModel Coef'!$R$8:$R$11,S48),0))*(1+INDEX('CostModel Coef'!$S$8:$S$12,S48)),2),"")</f>
        <v>708.05</v>
      </c>
      <c r="V48" s="53"/>
      <c r="W48" s="53"/>
    </row>
    <row r="49" spans="1:23">
      <c r="A49" s="53" t="s">
        <v>143</v>
      </c>
      <c r="B49" s="53" t="s">
        <v>127</v>
      </c>
      <c r="C49" s="53" t="s">
        <v>128</v>
      </c>
      <c r="D49" s="53">
        <v>40</v>
      </c>
      <c r="E49" s="53">
        <v>0.94</v>
      </c>
      <c r="F49" s="53"/>
      <c r="G49" s="53"/>
      <c r="H49" s="53"/>
      <c r="I49" s="53"/>
      <c r="J49" s="53">
        <v>0</v>
      </c>
      <c r="K49" s="53">
        <v>0</v>
      </c>
      <c r="L49" s="53">
        <v>0</v>
      </c>
      <c r="M49" s="53">
        <v>0</v>
      </c>
      <c r="N49" s="53" t="s">
        <v>144</v>
      </c>
      <c r="O49" s="36" t="s">
        <v>94</v>
      </c>
      <c r="P49" s="53"/>
      <c r="Q49" s="53"/>
      <c r="R49" s="67" t="str">
        <f t="shared" si="0"/>
        <v>Stor_EF-Elec</v>
      </c>
      <c r="S49" s="53">
        <v>3</v>
      </c>
      <c r="T49" s="53"/>
      <c r="U49" s="69">
        <f>IF(S49&gt;0,ROUND((INDEX('CostModel Coef'!$C$8:$C$11,S49)+INDEX('CostModel Coef'!$D$8:$D$11,S49)+INDEX('CostModel Coef'!$F$8:$F$11,S49)*E49+INDEX('CostModel Coef'!$O$8:$O$11,S49)*D49+IF(K49&gt;10,INDEX('CostModel Coef'!$R$8:$R$11,S49),0))*(1+INDEX('CostModel Coef'!$S$8:$S$12,S49)),2),"")</f>
        <v>626.01</v>
      </c>
      <c r="V49" s="53"/>
      <c r="W49" s="53"/>
    </row>
    <row r="50" spans="1:23">
      <c r="A50" s="53" t="s">
        <v>145</v>
      </c>
      <c r="B50" s="53" t="s">
        <v>127</v>
      </c>
      <c r="C50" s="53" t="s">
        <v>128</v>
      </c>
      <c r="D50" s="53">
        <v>50</v>
      </c>
      <c r="E50" s="53">
        <v>0.86399999999999999</v>
      </c>
      <c r="F50" s="53">
        <v>0</v>
      </c>
      <c r="G50" s="53">
        <v>5</v>
      </c>
      <c r="H50" s="53">
        <v>0.98</v>
      </c>
      <c r="I50" s="53">
        <v>3.9933999999999998</v>
      </c>
      <c r="J50" s="53">
        <v>0</v>
      </c>
      <c r="K50" s="53">
        <v>0</v>
      </c>
      <c r="L50" s="53">
        <v>0</v>
      </c>
      <c r="M50" s="53">
        <v>0</v>
      </c>
      <c r="N50" s="53" t="s">
        <v>146</v>
      </c>
      <c r="O50" s="36" t="s">
        <v>94</v>
      </c>
      <c r="P50" s="53"/>
      <c r="Q50" s="53"/>
      <c r="R50" s="67" t="str">
        <f t="shared" si="0"/>
        <v>Stor_EF-Elec</v>
      </c>
      <c r="S50" s="24">
        <v>0</v>
      </c>
      <c r="T50" s="53"/>
      <c r="U50" s="69" t="str">
        <f>IF(S50&gt;0,ROUND((INDEX('CostModel Coef'!$C$8:$C$11,S50)+INDEX('CostModel Coef'!$D$8:$D$11,S50)+INDEX('CostModel Coef'!$F$8:$F$11,S50)*E50+INDEX('CostModel Coef'!$O$8:$O$11,S50)*D50+IF(K50&gt;10,INDEX('CostModel Coef'!$R$8:$R$11,S50),0))*(1+INDEX('CostModel Coef'!$S$8:$S$12,S50)),2),"")</f>
        <v/>
      </c>
      <c r="V50" s="53"/>
      <c r="W50" s="53" t="s">
        <v>130</v>
      </c>
    </row>
    <row r="51" spans="1:23">
      <c r="A51" s="53" t="s">
        <v>147</v>
      </c>
      <c r="B51" s="53" t="s">
        <v>78</v>
      </c>
      <c r="C51" s="53" t="s">
        <v>128</v>
      </c>
      <c r="D51" s="53">
        <v>50</v>
      </c>
      <c r="E51" s="53">
        <v>0.90400000000000003</v>
      </c>
      <c r="F51" s="53">
        <v>0</v>
      </c>
      <c r="G51" s="53">
        <v>5</v>
      </c>
      <c r="H51" s="53">
        <v>0.98</v>
      </c>
      <c r="I51" s="53">
        <v>2.6941999999999999</v>
      </c>
      <c r="J51" s="53">
        <v>0</v>
      </c>
      <c r="K51" s="53">
        <v>0</v>
      </c>
      <c r="L51" s="53">
        <v>0</v>
      </c>
      <c r="M51" s="53">
        <v>0</v>
      </c>
      <c r="N51" s="53" t="s">
        <v>148</v>
      </c>
      <c r="O51" s="36" t="s">
        <v>94</v>
      </c>
      <c r="P51" s="53"/>
      <c r="Q51" s="53"/>
      <c r="R51" s="67" t="str">
        <f t="shared" si="0"/>
        <v>Stor_EF-Elec</v>
      </c>
      <c r="S51" s="53">
        <v>3</v>
      </c>
      <c r="T51" s="53"/>
      <c r="U51" s="69">
        <f>IF(S51&gt;0,ROUND((INDEX('CostModel Coef'!$C$8:$C$11,S51)+INDEX('CostModel Coef'!$D$8:$D$11,S51)+INDEX('CostModel Coef'!$F$8:$F$11,S51)*E51+INDEX('CostModel Coef'!$O$8:$O$11,S51)*D51+IF(K51&gt;10,INDEX('CostModel Coef'!$R$8:$R$11,S51),0))*(1+INDEX('CostModel Coef'!$S$8:$S$12,S51)),2),"")</f>
        <v>418.85</v>
      </c>
      <c r="V51" s="53"/>
      <c r="W51" s="53"/>
    </row>
    <row r="52" spans="1:23">
      <c r="A52" s="53" t="s">
        <v>149</v>
      </c>
      <c r="B52" s="53" t="s">
        <v>127</v>
      </c>
      <c r="C52" s="53" t="s">
        <v>128</v>
      </c>
      <c r="D52" s="53">
        <v>50</v>
      </c>
      <c r="E52" s="53">
        <v>0.93</v>
      </c>
      <c r="F52" s="53"/>
      <c r="G52" s="53"/>
      <c r="H52" s="53"/>
      <c r="I52" s="53"/>
      <c r="J52" s="53">
        <v>0</v>
      </c>
      <c r="K52" s="53">
        <v>0</v>
      </c>
      <c r="L52" s="53">
        <v>0</v>
      </c>
      <c r="M52" s="53">
        <v>0</v>
      </c>
      <c r="N52" s="53" t="s">
        <v>150</v>
      </c>
      <c r="O52" s="36" t="s">
        <v>94</v>
      </c>
      <c r="P52" s="53"/>
      <c r="Q52" s="53"/>
      <c r="R52" s="67" t="str">
        <f t="shared" si="0"/>
        <v>Stor_EF-Elec</v>
      </c>
      <c r="S52" s="53">
        <v>3</v>
      </c>
      <c r="T52" s="53"/>
      <c r="U52" s="69">
        <f>IF(S52&gt;0,ROUND((INDEX('CostModel Coef'!$C$8:$C$11,S52)+INDEX('CostModel Coef'!$D$8:$D$11,S52)+INDEX('CostModel Coef'!$F$8:$F$11,S52)*E52+INDEX('CostModel Coef'!$O$8:$O$11,S52)*D52+IF(K52&gt;10,INDEX('CostModel Coef'!$R$8:$R$11,S52),0))*(1+INDEX('CostModel Coef'!$S$8:$S$12,S52)),2),"")</f>
        <v>685.46</v>
      </c>
      <c r="V52" s="53"/>
      <c r="W52" s="53"/>
    </row>
    <row r="53" spans="1:23">
      <c r="A53" s="53" t="s">
        <v>151</v>
      </c>
      <c r="B53" s="53" t="s">
        <v>78</v>
      </c>
      <c r="C53" s="53" t="s">
        <v>128</v>
      </c>
      <c r="D53" s="53">
        <v>50</v>
      </c>
      <c r="E53" s="53">
        <v>0.94499999999999995</v>
      </c>
      <c r="F53" s="53">
        <v>0</v>
      </c>
      <c r="G53" s="53">
        <v>4.5</v>
      </c>
      <c r="H53" s="53">
        <v>0.98</v>
      </c>
      <c r="I53" s="53">
        <v>1.4765999999999999</v>
      </c>
      <c r="J53" s="53">
        <v>0</v>
      </c>
      <c r="K53" s="53">
        <v>0</v>
      </c>
      <c r="L53" s="53">
        <v>0</v>
      </c>
      <c r="M53" s="53">
        <v>0</v>
      </c>
      <c r="N53" s="53" t="s">
        <v>152</v>
      </c>
      <c r="O53" s="36" t="s">
        <v>94</v>
      </c>
      <c r="P53" s="53"/>
      <c r="Q53" s="53"/>
      <c r="R53" s="67" t="str">
        <f t="shared" si="0"/>
        <v>Stor_EF-Elec</v>
      </c>
      <c r="S53" s="53">
        <v>3</v>
      </c>
      <c r="T53" s="53"/>
      <c r="U53" s="69">
        <f>IF(S53&gt;0,ROUND((INDEX('CostModel Coef'!$C$8:$C$11,S53)+INDEX('CostModel Coef'!$D$8:$D$11,S53)+INDEX('CostModel Coef'!$F$8:$F$11,S53)*E53+INDEX('CostModel Coef'!$O$8:$O$11,S53)*D53+IF(K53&gt;10,INDEX('CostModel Coef'!$R$8:$R$11,S53),0))*(1+INDEX('CostModel Coef'!$S$8:$S$12,S53)),2),"")</f>
        <v>839.27</v>
      </c>
      <c r="V53" s="53"/>
      <c r="W53" s="53"/>
    </row>
    <row r="54" spans="1:23">
      <c r="A54" s="53" t="s">
        <v>153</v>
      </c>
      <c r="B54" s="53" t="s">
        <v>127</v>
      </c>
      <c r="C54" s="53" t="s">
        <v>128</v>
      </c>
      <c r="D54" s="53">
        <v>60</v>
      </c>
      <c r="E54" s="53">
        <v>0.8508</v>
      </c>
      <c r="F54" s="53">
        <v>0</v>
      </c>
      <c r="G54" s="53">
        <v>5.5</v>
      </c>
      <c r="H54" s="53">
        <v>0.98</v>
      </c>
      <c r="I54" s="53">
        <v>4.4489999999999998</v>
      </c>
      <c r="J54" s="53">
        <v>0</v>
      </c>
      <c r="K54" s="53">
        <v>0</v>
      </c>
      <c r="L54" s="53">
        <v>0</v>
      </c>
      <c r="M54" s="53">
        <v>0</v>
      </c>
      <c r="N54" s="53" t="s">
        <v>154</v>
      </c>
      <c r="O54" s="36" t="s">
        <v>94</v>
      </c>
      <c r="P54" s="53"/>
      <c r="Q54" s="53"/>
      <c r="R54" s="67" t="str">
        <f t="shared" si="0"/>
        <v>Stor_EF-Elec</v>
      </c>
      <c r="S54" s="24">
        <v>0</v>
      </c>
      <c r="T54" s="53"/>
      <c r="U54" s="69" t="str">
        <f>IF(S54&gt;0,ROUND((INDEX('CostModel Coef'!$C$8:$C$11,S54)+INDEX('CostModel Coef'!$D$8:$D$11,S54)+INDEX('CostModel Coef'!$F$8:$F$11,S54)*E54+INDEX('CostModel Coef'!$O$8:$O$11,S54)*D54+IF(K54&gt;10,INDEX('CostModel Coef'!$R$8:$R$11,S54),0))*(1+INDEX('CostModel Coef'!$S$8:$S$12,S54)),2),"")</f>
        <v/>
      </c>
      <c r="V54" s="53"/>
      <c r="W54" s="53" t="s">
        <v>130</v>
      </c>
    </row>
    <row r="55" spans="1:23">
      <c r="A55" s="53" t="s">
        <v>155</v>
      </c>
      <c r="B55" s="53" t="s">
        <v>78</v>
      </c>
      <c r="C55" s="53" t="s">
        <v>128</v>
      </c>
      <c r="D55" s="53">
        <v>60</v>
      </c>
      <c r="E55" s="53">
        <v>0.89080000000000004</v>
      </c>
      <c r="F55" s="53">
        <v>0</v>
      </c>
      <c r="G55" s="53">
        <v>5.5</v>
      </c>
      <c r="H55" s="53">
        <v>0.98</v>
      </c>
      <c r="I55" s="53">
        <v>3.11</v>
      </c>
      <c r="J55" s="53">
        <v>0</v>
      </c>
      <c r="K55" s="53">
        <v>0</v>
      </c>
      <c r="L55" s="53">
        <v>0</v>
      </c>
      <c r="M55" s="53">
        <v>0</v>
      </c>
      <c r="N55" s="53" t="s">
        <v>156</v>
      </c>
      <c r="O55" s="36" t="s">
        <v>94</v>
      </c>
      <c r="P55" s="53"/>
      <c r="Q55" s="53"/>
      <c r="R55" s="67" t="str">
        <f t="shared" si="0"/>
        <v>Stor_EF-Elec</v>
      </c>
      <c r="S55" s="53">
        <v>3</v>
      </c>
      <c r="T55" s="53"/>
      <c r="U55" s="69">
        <f>IF(S55&gt;0,ROUND((INDEX('CostModel Coef'!$C$8:$C$11,S55)+INDEX('CostModel Coef'!$D$8:$D$11,S55)+INDEX('CostModel Coef'!$F$8:$F$11,S55)*E55+INDEX('CostModel Coef'!$O$8:$O$11,S55)*D55+IF(K55&gt;10,INDEX('CostModel Coef'!$R$8:$R$11,S55),0))*(1+INDEX('CostModel Coef'!$S$8:$S$12,S55)),2),"")</f>
        <v>445.48</v>
      </c>
      <c r="V55" s="53"/>
      <c r="W55" s="53"/>
    </row>
    <row r="56" spans="1:23">
      <c r="A56" s="53" t="s">
        <v>157</v>
      </c>
      <c r="B56" s="53" t="s">
        <v>127</v>
      </c>
      <c r="C56" s="53" t="s">
        <v>128</v>
      </c>
      <c r="D56" s="53">
        <v>60</v>
      </c>
      <c r="E56" s="53">
        <v>0.92</v>
      </c>
      <c r="F56" s="53"/>
      <c r="G56" s="53"/>
      <c r="H56" s="53"/>
      <c r="I56" s="53"/>
      <c r="J56" s="53">
        <v>0</v>
      </c>
      <c r="K56" s="53">
        <v>0</v>
      </c>
      <c r="L56" s="53">
        <v>0</v>
      </c>
      <c r="M56" s="53">
        <v>0</v>
      </c>
      <c r="N56" s="53" t="s">
        <v>158</v>
      </c>
      <c r="O56" s="36" t="s">
        <v>94</v>
      </c>
      <c r="P56" s="53"/>
      <c r="Q56" s="53"/>
      <c r="R56" s="67" t="str">
        <f t="shared" si="0"/>
        <v>Stor_EF-Elec</v>
      </c>
      <c r="S56" s="53">
        <v>3</v>
      </c>
      <c r="T56" s="53"/>
      <c r="U56" s="69">
        <f>IF(S56&gt;0,ROUND((INDEX('CostModel Coef'!$C$8:$C$11,S56)+INDEX('CostModel Coef'!$D$8:$D$11,S56)+INDEX('CostModel Coef'!$F$8:$F$11,S56)*E56+INDEX('CostModel Coef'!$O$8:$O$11,S56)*D56+IF(K56&gt;10,INDEX('CostModel Coef'!$R$8:$R$11,S56),0))*(1+INDEX('CostModel Coef'!$S$8:$S$12,S56)),2),"")</f>
        <v>744.9</v>
      </c>
      <c r="V56" s="53"/>
      <c r="W56" s="53"/>
    </row>
    <row r="57" spans="1:23">
      <c r="A57" s="53" t="s">
        <v>159</v>
      </c>
      <c r="B57" s="53" t="s">
        <v>127</v>
      </c>
      <c r="C57" s="53" t="s">
        <v>128</v>
      </c>
      <c r="D57" s="53">
        <v>75</v>
      </c>
      <c r="E57" s="53">
        <v>0.83099999999999996</v>
      </c>
      <c r="F57" s="53">
        <v>0</v>
      </c>
      <c r="G57" s="53">
        <v>5.5</v>
      </c>
      <c r="H57" s="53">
        <v>0.98</v>
      </c>
      <c r="I57" s="53">
        <v>5.1595000000000004</v>
      </c>
      <c r="J57" s="53">
        <v>0</v>
      </c>
      <c r="K57" s="53">
        <v>0</v>
      </c>
      <c r="L57" s="53">
        <v>0</v>
      </c>
      <c r="M57" s="53">
        <v>0</v>
      </c>
      <c r="N57" s="53" t="s">
        <v>160</v>
      </c>
      <c r="O57" s="36" t="s">
        <v>94</v>
      </c>
      <c r="P57" s="53"/>
      <c r="Q57" s="53"/>
      <c r="R57" s="67" t="str">
        <f t="shared" si="0"/>
        <v>Stor_EF-Elec</v>
      </c>
      <c r="S57" s="24">
        <v>0</v>
      </c>
      <c r="T57" s="53"/>
      <c r="U57" s="69" t="str">
        <f>IF(S57&gt;0,ROUND((INDEX('CostModel Coef'!$C$8:$C$11,S57)+INDEX('CostModel Coef'!$D$8:$D$11,S57)+INDEX('CostModel Coef'!$F$8:$F$11,S57)*E57+INDEX('CostModel Coef'!$O$8:$O$11,S57)*D57+IF(K57&gt;10,INDEX('CostModel Coef'!$R$8:$R$11,S57),0))*(1+INDEX('CostModel Coef'!$S$8:$S$12,S57)),2),"")</f>
        <v/>
      </c>
      <c r="V57" s="53"/>
      <c r="W57" s="53" t="s">
        <v>130</v>
      </c>
    </row>
    <row r="58" spans="1:23">
      <c r="A58" s="53" t="s">
        <v>161</v>
      </c>
      <c r="B58" s="53" t="s">
        <v>78</v>
      </c>
      <c r="C58" s="53" t="s">
        <v>128</v>
      </c>
      <c r="D58" s="53">
        <v>75</v>
      </c>
      <c r="E58" s="53">
        <v>0.871</v>
      </c>
      <c r="F58" s="53">
        <v>0</v>
      </c>
      <c r="G58" s="53">
        <v>5.5</v>
      </c>
      <c r="H58" s="53">
        <v>0.98</v>
      </c>
      <c r="I58" s="53">
        <v>3.7574000000000001</v>
      </c>
      <c r="J58" s="53">
        <v>0</v>
      </c>
      <c r="K58" s="53">
        <v>0</v>
      </c>
      <c r="L58" s="53">
        <v>0</v>
      </c>
      <c r="M58" s="53">
        <v>0</v>
      </c>
      <c r="N58" s="53" t="s">
        <v>162</v>
      </c>
      <c r="O58" s="36" t="s">
        <v>94</v>
      </c>
      <c r="P58" s="53"/>
      <c r="Q58" s="53"/>
      <c r="R58" s="67" t="str">
        <f t="shared" si="0"/>
        <v>Stor_EF-Elec</v>
      </c>
      <c r="S58" s="53">
        <v>3</v>
      </c>
      <c r="T58" s="53"/>
      <c r="U58" s="69">
        <f>IF(S58&gt;0,ROUND((INDEX('CostModel Coef'!$C$8:$C$11,S58)+INDEX('CostModel Coef'!$D$8:$D$11,S58)+INDEX('CostModel Coef'!$F$8:$F$11,S58)*E58+INDEX('CostModel Coef'!$O$8:$O$11,S58)*D58+IF(K58&gt;10,INDEX('CostModel Coef'!$R$8:$R$11,S58),0))*(1+INDEX('CostModel Coef'!$S$8:$S$12,S58)),2),"")</f>
        <v>485.42</v>
      </c>
      <c r="V58" s="53"/>
      <c r="W58" s="53"/>
    </row>
    <row r="59" spans="1:23">
      <c r="A59" s="53" t="s">
        <v>163</v>
      </c>
      <c r="B59" s="53" t="s">
        <v>127</v>
      </c>
      <c r="C59" s="53" t="s">
        <v>128</v>
      </c>
      <c r="D59" s="53">
        <v>75</v>
      </c>
      <c r="E59" s="53">
        <v>0.91</v>
      </c>
      <c r="F59" s="53"/>
      <c r="G59" s="53"/>
      <c r="H59" s="53"/>
      <c r="I59" s="53"/>
      <c r="J59" s="53">
        <v>0</v>
      </c>
      <c r="K59" s="53">
        <v>0</v>
      </c>
      <c r="L59" s="53">
        <v>0</v>
      </c>
      <c r="M59" s="53">
        <v>0</v>
      </c>
      <c r="N59" s="53" t="s">
        <v>164</v>
      </c>
      <c r="O59" s="36" t="s">
        <v>94</v>
      </c>
      <c r="P59" s="53"/>
      <c r="Q59" s="53"/>
      <c r="R59" s="67" t="str">
        <f t="shared" si="0"/>
        <v>Stor_EF-Elec</v>
      </c>
      <c r="S59" s="53">
        <f>IFERROR(MATCH(R59,'CostModel Coef'!$B$8:$B$11,0),0)</f>
        <v>3</v>
      </c>
      <c r="T59" s="53"/>
      <c r="U59" s="69">
        <f>IF(S59&gt;0,ROUND((INDEX('CostModel Coef'!$C$8:$C$11,S59)+INDEX('CostModel Coef'!$D$8:$D$11,S59)+INDEX('CostModel Coef'!$F$8:$F$11,S59)*E59+INDEX('CostModel Coef'!$O$8:$O$11,S59)*D59+IF(K59&gt;10,INDEX('CostModel Coef'!$R$8:$R$11,S59),0))*(1+INDEX('CostModel Coef'!$S$8:$S$12,S59)),2),"")</f>
        <v>885.34</v>
      </c>
      <c r="V59" s="53"/>
      <c r="W59" s="53"/>
    </row>
    <row r="60" spans="1:23">
      <c r="A60" s="53" t="s">
        <v>165</v>
      </c>
      <c r="B60" s="53" t="s">
        <v>127</v>
      </c>
      <c r="C60" s="53" t="s">
        <v>79</v>
      </c>
      <c r="D60" s="53">
        <v>30</v>
      </c>
      <c r="E60" s="53">
        <v>0.56999999999999995</v>
      </c>
      <c r="F60" s="53">
        <v>30</v>
      </c>
      <c r="G60" s="53">
        <v>0</v>
      </c>
      <c r="H60" s="53">
        <v>0.75800000000000001</v>
      </c>
      <c r="I60" s="53">
        <v>9.2970000000000006</v>
      </c>
      <c r="J60" s="53">
        <v>0</v>
      </c>
      <c r="K60" s="53">
        <v>0</v>
      </c>
      <c r="L60" s="53">
        <v>350</v>
      </c>
      <c r="M60" s="53">
        <v>0.67</v>
      </c>
      <c r="N60" s="53" t="s">
        <v>166</v>
      </c>
      <c r="O60" s="36" t="s">
        <v>94</v>
      </c>
      <c r="P60" s="53"/>
      <c r="Q60" s="53"/>
      <c r="R60" s="67" t="str">
        <f t="shared" si="0"/>
        <v>Stor_EF-Gas</v>
      </c>
      <c r="S60" s="53">
        <f>IFERROR(MATCH(R60,'CostModel Coef'!$B$8:$B$11,0),0)</f>
        <v>4</v>
      </c>
      <c r="T60" s="53"/>
      <c r="U60" s="69">
        <f>IF(S60&gt;0,ROUND((INDEX('CostModel Coef'!$C$8:$C$11,S60)+INDEX('CostModel Coef'!$D$8:$D$11,S60)+INDEX('CostModel Coef'!$F$8:$F$11,S60)*E60+INDEX('CostModel Coef'!$O$8:$O$11,S60)*D60+IF(K60&gt;10,INDEX('CostModel Coef'!$R$8:$R$11,S60),0))*(1+INDEX('CostModel Coef'!$S$8:$S$12,S60)),2),"")</f>
        <v>407.12</v>
      </c>
      <c r="V60" s="53"/>
      <c r="W60" s="53"/>
    </row>
    <row r="61" spans="1:23">
      <c r="A61" s="53" t="s">
        <v>167</v>
      </c>
      <c r="B61" s="53" t="s">
        <v>78</v>
      </c>
      <c r="C61" s="53" t="s">
        <v>79</v>
      </c>
      <c r="D61" s="53">
        <v>30</v>
      </c>
      <c r="E61" s="53">
        <v>0.57999999999999996</v>
      </c>
      <c r="F61" s="53">
        <v>30</v>
      </c>
      <c r="G61" s="53">
        <v>0</v>
      </c>
      <c r="H61" s="53">
        <v>0.75800000000000001</v>
      </c>
      <c r="I61" s="53">
        <v>8.6341999999999999</v>
      </c>
      <c r="J61" s="53">
        <v>0</v>
      </c>
      <c r="K61" s="53">
        <v>0</v>
      </c>
      <c r="L61" s="53">
        <v>350</v>
      </c>
      <c r="M61" s="53">
        <v>0.67</v>
      </c>
      <c r="N61" s="53" t="s">
        <v>168</v>
      </c>
      <c r="O61" s="36" t="s">
        <v>94</v>
      </c>
      <c r="P61" s="53"/>
      <c r="Q61" s="53"/>
      <c r="R61" s="67" t="str">
        <f t="shared" si="0"/>
        <v>Stor_EF-Gas</v>
      </c>
      <c r="S61" s="53">
        <f>IFERROR(MATCH(R61,'CostModel Coef'!$B$8:$B$11,0),0)</f>
        <v>4</v>
      </c>
      <c r="T61" s="53"/>
      <c r="U61" s="69">
        <f>IF(S61&gt;0,ROUND((INDEX('CostModel Coef'!$C$8:$C$11,S61)+INDEX('CostModel Coef'!$D$8:$D$11,S61)+INDEX('CostModel Coef'!$F$8:$F$11,S61)*E61+INDEX('CostModel Coef'!$O$8:$O$11,S61)*D61+IF(K61&gt;10,INDEX('CostModel Coef'!$R$8:$R$11,S61),0))*(1+INDEX('CostModel Coef'!$S$8:$S$12,S61)),2),"")</f>
        <v>433.95</v>
      </c>
      <c r="V61" s="53"/>
      <c r="W61" s="53"/>
    </row>
    <row r="62" spans="1:23">
      <c r="A62" s="53" t="s">
        <v>169</v>
      </c>
      <c r="B62" s="53" t="s">
        <v>127</v>
      </c>
      <c r="C62" s="53" t="s">
        <v>79</v>
      </c>
      <c r="D62" s="53">
        <v>30</v>
      </c>
      <c r="E62" s="53">
        <v>0.61299999999999999</v>
      </c>
      <c r="F62" s="53">
        <v>30</v>
      </c>
      <c r="G62" s="53">
        <v>0</v>
      </c>
      <c r="H62" s="53">
        <v>0.75800000000000001</v>
      </c>
      <c r="I62" s="53">
        <v>6.6158999999999999</v>
      </c>
      <c r="J62" s="53">
        <v>0</v>
      </c>
      <c r="K62" s="53">
        <v>0</v>
      </c>
      <c r="L62" s="53">
        <v>350</v>
      </c>
      <c r="M62" s="53">
        <v>0.67</v>
      </c>
      <c r="N62" s="53" t="s">
        <v>170</v>
      </c>
      <c r="O62" s="36" t="s">
        <v>94</v>
      </c>
      <c r="P62" s="53"/>
      <c r="Q62" s="53"/>
      <c r="R62" s="67" t="str">
        <f t="shared" si="0"/>
        <v>Stor_EF-Gas</v>
      </c>
      <c r="S62" s="53">
        <f>IFERROR(MATCH(R62,'CostModel Coef'!$B$8:$B$11,0),0)</f>
        <v>4</v>
      </c>
      <c r="T62" s="53"/>
      <c r="U62" s="69">
        <f>IF(S62&gt;0,ROUND((INDEX('CostModel Coef'!$C$8:$C$11,S62)+INDEX('CostModel Coef'!$D$8:$D$11,S62)+INDEX('CostModel Coef'!$F$8:$F$11,S62)*E62+INDEX('CostModel Coef'!$O$8:$O$11,S62)*D62+IF(K62&gt;10,INDEX('CostModel Coef'!$R$8:$R$11,S62),0))*(1+INDEX('CostModel Coef'!$S$8:$S$12,S62)),2),"")</f>
        <v>522.47</v>
      </c>
      <c r="V62" s="53"/>
      <c r="W62" s="53"/>
    </row>
    <row r="63" spans="1:23">
      <c r="A63" s="53" t="s">
        <v>171</v>
      </c>
      <c r="B63" s="53" t="s">
        <v>127</v>
      </c>
      <c r="C63" s="53" t="s">
        <v>79</v>
      </c>
      <c r="D63" s="53">
        <v>30</v>
      </c>
      <c r="E63" s="53">
        <v>0.62</v>
      </c>
      <c r="F63" s="53"/>
      <c r="G63" s="53"/>
      <c r="H63" s="53"/>
      <c r="I63" s="53"/>
      <c r="J63" s="53">
        <v>0</v>
      </c>
      <c r="K63" s="53">
        <v>0</v>
      </c>
      <c r="L63" s="53">
        <v>0</v>
      </c>
      <c r="M63" s="53">
        <v>0</v>
      </c>
      <c r="N63" s="53" t="s">
        <v>172</v>
      </c>
      <c r="O63" s="36" t="s">
        <v>94</v>
      </c>
      <c r="P63" s="53"/>
      <c r="Q63" s="53"/>
      <c r="R63" s="67" t="str">
        <f t="shared" si="0"/>
        <v>Stor_EF-Gas</v>
      </c>
      <c r="S63" s="53">
        <f>IFERROR(MATCH(R63,'CostModel Coef'!$B$8:$B$11,0),0)</f>
        <v>4</v>
      </c>
      <c r="T63" s="53"/>
      <c r="U63" s="69">
        <f>IF(S63&gt;0,ROUND((INDEX('CostModel Coef'!$C$8:$C$11,S63)+INDEX('CostModel Coef'!$D$8:$D$11,S63)+INDEX('CostModel Coef'!$F$8:$F$11,S63)*E63+INDEX('CostModel Coef'!$O$8:$O$11,S63)*D63+IF(K63&gt;10,INDEX('CostModel Coef'!$R$8:$R$11,S63),0))*(1+INDEX('CostModel Coef'!$S$8:$S$12,S63)),2),"")</f>
        <v>541.24</v>
      </c>
      <c r="V63" s="53"/>
      <c r="W63" s="53"/>
    </row>
    <row r="64" spans="1:23">
      <c r="A64" s="53" t="s">
        <v>173</v>
      </c>
      <c r="B64" s="53" t="s">
        <v>78</v>
      </c>
      <c r="C64" s="53" t="s">
        <v>79</v>
      </c>
      <c r="D64" s="53">
        <v>30</v>
      </c>
      <c r="E64" s="53">
        <v>0.63</v>
      </c>
      <c r="F64" s="53">
        <v>30</v>
      </c>
      <c r="G64" s="53">
        <v>0</v>
      </c>
      <c r="H64" s="53">
        <v>0.81</v>
      </c>
      <c r="I64" s="53">
        <v>7.9691999999999998</v>
      </c>
      <c r="J64" s="53">
        <v>0</v>
      </c>
      <c r="K64" s="53">
        <v>0</v>
      </c>
      <c r="L64" s="53">
        <v>350</v>
      </c>
      <c r="M64" s="53">
        <v>0.67</v>
      </c>
      <c r="N64" s="53" t="s">
        <v>174</v>
      </c>
      <c r="O64" s="36" t="s">
        <v>94</v>
      </c>
      <c r="P64" s="53"/>
      <c r="Q64" s="53"/>
      <c r="R64" s="67" t="str">
        <f t="shared" si="0"/>
        <v>Stor_EF-Gas</v>
      </c>
      <c r="S64" s="53">
        <f>IFERROR(MATCH(R64,'CostModel Coef'!$B$8:$B$11,0),0)</f>
        <v>4</v>
      </c>
      <c r="T64" s="53"/>
      <c r="U64" s="69">
        <f>IF(S64&gt;0,ROUND((INDEX('CostModel Coef'!$C$8:$C$11,S64)+INDEX('CostModel Coef'!$D$8:$D$11,S64)+INDEX('CostModel Coef'!$F$8:$F$11,S64)*E64+INDEX('CostModel Coef'!$O$8:$O$11,S64)*D64+IF(K64&gt;10,INDEX('CostModel Coef'!$R$8:$R$11,S64),0))*(1+INDEX('CostModel Coef'!$S$8:$S$12,S64)),2),"")</f>
        <v>568.07000000000005</v>
      </c>
      <c r="V64" s="53"/>
      <c r="W64" s="53"/>
    </row>
    <row r="65" spans="1:23">
      <c r="A65" s="53" t="s">
        <v>175</v>
      </c>
      <c r="B65" s="53" t="s">
        <v>127</v>
      </c>
      <c r="C65" s="53" t="s">
        <v>79</v>
      </c>
      <c r="D65" s="53">
        <v>30</v>
      </c>
      <c r="E65" s="53">
        <v>0.65</v>
      </c>
      <c r="F65" s="53">
        <v>30</v>
      </c>
      <c r="G65" s="53">
        <v>0</v>
      </c>
      <c r="H65" s="53">
        <v>0.81</v>
      </c>
      <c r="I65" s="53">
        <v>6.8448000000000002</v>
      </c>
      <c r="J65" s="53">
        <v>0</v>
      </c>
      <c r="K65" s="53">
        <v>0</v>
      </c>
      <c r="L65" s="53">
        <v>350</v>
      </c>
      <c r="M65" s="53">
        <v>0.67</v>
      </c>
      <c r="N65" s="53" t="s">
        <v>176</v>
      </c>
      <c r="O65" s="36" t="s">
        <v>94</v>
      </c>
      <c r="P65" s="53"/>
      <c r="Q65" s="53"/>
      <c r="R65" s="67" t="str">
        <f t="shared" si="0"/>
        <v>Stor_EF-Gas</v>
      </c>
      <c r="S65" s="53">
        <f>IFERROR(MATCH(R65,'CostModel Coef'!$B$8:$B$11,0),0)</f>
        <v>4</v>
      </c>
      <c r="T65" s="53"/>
      <c r="U65" s="69">
        <f>IF(S65&gt;0,ROUND((INDEX('CostModel Coef'!$C$8:$C$11,S65)+INDEX('CostModel Coef'!$D$8:$D$11,S65)+INDEX('CostModel Coef'!$F$8:$F$11,S65)*E65+INDEX('CostModel Coef'!$O$8:$O$11,S65)*D65+IF(K65&gt;10,INDEX('CostModel Coef'!$R$8:$R$11,S65),0))*(1+INDEX('CostModel Coef'!$S$8:$S$12,S65)),2),"")</f>
        <v>621.71</v>
      </c>
      <c r="V65" s="53"/>
      <c r="W65" s="53"/>
    </row>
    <row r="66" spans="1:23">
      <c r="A66" s="53" t="s">
        <v>177</v>
      </c>
      <c r="B66" s="53" t="s">
        <v>78</v>
      </c>
      <c r="C66" s="53" t="s">
        <v>79</v>
      </c>
      <c r="D66" s="53">
        <v>30</v>
      </c>
      <c r="E66" s="53">
        <v>0.7</v>
      </c>
      <c r="F66" s="53">
        <v>30</v>
      </c>
      <c r="G66" s="53">
        <v>0</v>
      </c>
      <c r="H66" s="53">
        <v>0.81</v>
      </c>
      <c r="I66" s="53">
        <v>4.3398000000000003</v>
      </c>
      <c r="J66" s="53">
        <v>0</v>
      </c>
      <c r="K66" s="53">
        <v>0</v>
      </c>
      <c r="L66" s="53">
        <v>350</v>
      </c>
      <c r="M66" s="53">
        <v>0.67</v>
      </c>
      <c r="N66" s="53" t="s">
        <v>178</v>
      </c>
      <c r="O66" s="36" t="s">
        <v>94</v>
      </c>
      <c r="P66" s="53"/>
      <c r="Q66" s="53"/>
      <c r="R66" s="67" t="str">
        <f t="shared" si="0"/>
        <v>Stor_EF-Gas</v>
      </c>
      <c r="S66" s="53">
        <f>IFERROR(MATCH(R66,'CostModel Coef'!$B$8:$B$11,0),0)</f>
        <v>4</v>
      </c>
      <c r="T66" s="53"/>
      <c r="U66" s="69">
        <f>IF(S66&gt;0,ROUND((INDEX('CostModel Coef'!$C$8:$C$11,S66)+INDEX('CostModel Coef'!$D$8:$D$11,S66)+INDEX('CostModel Coef'!$F$8:$F$11,S66)*E66+INDEX('CostModel Coef'!$O$8:$O$11,S66)*D66+IF(K66&gt;10,INDEX('CostModel Coef'!$R$8:$R$11,S66),0))*(1+INDEX('CostModel Coef'!$S$8:$S$12,S66)),2),"")</f>
        <v>755.83</v>
      </c>
      <c r="V66" s="53"/>
      <c r="W66" s="53"/>
    </row>
    <row r="67" spans="1:23">
      <c r="A67" s="53" t="s">
        <v>179</v>
      </c>
      <c r="B67" s="53" t="s">
        <v>78</v>
      </c>
      <c r="C67" s="53" t="s">
        <v>79</v>
      </c>
      <c r="D67" s="53">
        <v>30</v>
      </c>
      <c r="E67" s="53">
        <v>0.72</v>
      </c>
      <c r="F67" s="53">
        <v>30</v>
      </c>
      <c r="G67" s="53">
        <v>0</v>
      </c>
      <c r="H67" s="53">
        <v>0.83</v>
      </c>
      <c r="I67" s="53">
        <v>4.2088999999999999</v>
      </c>
      <c r="J67" s="53">
        <v>0</v>
      </c>
      <c r="K67" s="53">
        <v>0</v>
      </c>
      <c r="L67" s="53">
        <v>350</v>
      </c>
      <c r="M67" s="53">
        <v>0.67</v>
      </c>
      <c r="N67" s="53" t="s">
        <v>180</v>
      </c>
      <c r="O67" s="36" t="s">
        <v>94</v>
      </c>
      <c r="P67" s="53"/>
      <c r="Q67" s="53"/>
      <c r="R67" s="67" t="str">
        <f t="shared" si="0"/>
        <v>Stor_EF-Gas</v>
      </c>
      <c r="S67" s="24">
        <v>0</v>
      </c>
      <c r="T67" s="53"/>
      <c r="U67" s="69" t="str">
        <f>IF(S67&gt;0,ROUND((INDEX('CostModel Coef'!$C$8:$C$11,S67)+INDEX('CostModel Coef'!$D$8:$D$11,S67)+INDEX('CostModel Coef'!$F$8:$F$11,S67)*E67+INDEX('CostModel Coef'!$O$8:$O$11,S67)*D67+IF(K67&gt;10,INDEX('CostModel Coef'!$R$8:$R$11,S67),0))*(1+INDEX('CostModel Coef'!$S$8:$S$12,S67)),2),"")</f>
        <v/>
      </c>
      <c r="V67" s="53"/>
      <c r="W67" s="53" t="s">
        <v>181</v>
      </c>
    </row>
    <row r="68" spans="1:23">
      <c r="A68" s="53" t="s">
        <v>182</v>
      </c>
      <c r="B68" s="53" t="s">
        <v>127</v>
      </c>
      <c r="C68" s="53" t="s">
        <v>79</v>
      </c>
      <c r="D68" s="53">
        <v>30</v>
      </c>
      <c r="E68" s="53">
        <v>0.7</v>
      </c>
      <c r="F68" s="53"/>
      <c r="G68" s="53"/>
      <c r="H68" s="53"/>
      <c r="I68" s="53"/>
      <c r="J68" s="53">
        <v>0</v>
      </c>
      <c r="K68" s="53">
        <v>0</v>
      </c>
      <c r="L68" s="53">
        <v>0</v>
      </c>
      <c r="M68" s="53">
        <v>0</v>
      </c>
      <c r="N68" s="53" t="s">
        <v>183</v>
      </c>
      <c r="O68" s="36" t="s">
        <v>94</v>
      </c>
      <c r="P68" s="53"/>
      <c r="Q68" s="53"/>
      <c r="R68" s="67" t="str">
        <f t="shared" si="0"/>
        <v>Stor_EF-Gas</v>
      </c>
      <c r="S68" s="53">
        <f>IFERROR(MATCH(R68,'CostModel Coef'!$B$8:$B$11,0),0)</f>
        <v>4</v>
      </c>
      <c r="T68" s="53"/>
      <c r="U68" s="69">
        <f>IF(S68&gt;0,ROUND((INDEX('CostModel Coef'!$C$8:$C$11,S68)+INDEX('CostModel Coef'!$D$8:$D$11,S68)+INDEX('CostModel Coef'!$F$8:$F$11,S68)*E68+INDEX('CostModel Coef'!$O$8:$O$11,S68)*D68+IF(K68&gt;10,INDEX('CostModel Coef'!$R$8:$R$11,S68),0))*(1+INDEX('CostModel Coef'!$S$8:$S$12,S68)),2),"")</f>
        <v>755.83</v>
      </c>
      <c r="V68" s="53"/>
      <c r="W68" s="53"/>
    </row>
    <row r="69" spans="1:23">
      <c r="A69" s="53" t="s">
        <v>184</v>
      </c>
      <c r="B69" s="53" t="s">
        <v>127</v>
      </c>
      <c r="C69" s="53" t="s">
        <v>79</v>
      </c>
      <c r="D69" s="53">
        <v>40</v>
      </c>
      <c r="E69" s="53">
        <v>0.56999999999999995</v>
      </c>
      <c r="F69" s="53">
        <v>40</v>
      </c>
      <c r="G69" s="53">
        <v>0</v>
      </c>
      <c r="H69" s="53">
        <v>0.75800000000000001</v>
      </c>
      <c r="I69" s="53">
        <v>9.0454000000000008</v>
      </c>
      <c r="J69" s="53">
        <v>0</v>
      </c>
      <c r="K69" s="53">
        <v>0</v>
      </c>
      <c r="L69" s="53">
        <v>350</v>
      </c>
      <c r="M69" s="53">
        <v>0.67</v>
      </c>
      <c r="N69" s="53" t="s">
        <v>185</v>
      </c>
      <c r="O69" s="36" t="s">
        <v>94</v>
      </c>
      <c r="P69" s="53"/>
      <c r="Q69" s="53"/>
      <c r="R69" s="67" t="str">
        <f t="shared" si="0"/>
        <v>Stor_EF-Gas</v>
      </c>
      <c r="S69" s="53">
        <f>IFERROR(MATCH(R69,'CostModel Coef'!$B$8:$B$11,0),0)</f>
        <v>4</v>
      </c>
      <c r="T69" s="53"/>
      <c r="U69" s="69">
        <f>IF(S69&gt;0,ROUND((INDEX('CostModel Coef'!$C$8:$C$11,S69)+INDEX('CostModel Coef'!$D$8:$D$11,S69)+INDEX('CostModel Coef'!$F$8:$F$11,S69)*E69+INDEX('CostModel Coef'!$O$8:$O$11,S69)*D69+IF(K69&gt;10,INDEX('CostModel Coef'!$R$8:$R$11,S69),0))*(1+INDEX('CostModel Coef'!$S$8:$S$12,S69)),2),"")</f>
        <v>511.4</v>
      </c>
      <c r="V69" s="53"/>
      <c r="W69" s="53"/>
    </row>
    <row r="70" spans="1:23">
      <c r="A70" s="53" t="s">
        <v>186</v>
      </c>
      <c r="B70" s="53" t="s">
        <v>78</v>
      </c>
      <c r="C70" s="53" t="s">
        <v>79</v>
      </c>
      <c r="D70" s="53">
        <v>40</v>
      </c>
      <c r="E70" s="53">
        <v>0.57999999999999996</v>
      </c>
      <c r="F70" s="53">
        <v>40</v>
      </c>
      <c r="G70" s="53">
        <v>0</v>
      </c>
      <c r="H70" s="53">
        <v>0.75800000000000001</v>
      </c>
      <c r="I70" s="53">
        <v>8.4047999999999998</v>
      </c>
      <c r="J70" s="53">
        <v>0</v>
      </c>
      <c r="K70" s="53">
        <v>0</v>
      </c>
      <c r="L70" s="53">
        <v>350</v>
      </c>
      <c r="M70" s="53">
        <v>0.67</v>
      </c>
      <c r="N70" s="53" t="s">
        <v>187</v>
      </c>
      <c r="O70" s="36" t="s">
        <v>94</v>
      </c>
      <c r="P70" s="53"/>
      <c r="Q70" s="53"/>
      <c r="R70" s="67" t="str">
        <f t="shared" si="0"/>
        <v>Stor_EF-Gas</v>
      </c>
      <c r="S70" s="53">
        <f>IFERROR(MATCH(R70,'CostModel Coef'!$B$8:$B$11,0),0)</f>
        <v>4</v>
      </c>
      <c r="T70" s="53"/>
      <c r="U70" s="69">
        <f>IF(S70&gt;0,ROUND((INDEX('CostModel Coef'!$C$8:$C$11,S70)+INDEX('CostModel Coef'!$D$8:$D$11,S70)+INDEX('CostModel Coef'!$F$8:$F$11,S70)*E70+INDEX('CostModel Coef'!$O$8:$O$11,S70)*D70+IF(K70&gt;10,INDEX('CostModel Coef'!$R$8:$R$11,S70),0))*(1+INDEX('CostModel Coef'!$S$8:$S$12,S70)),2),"")</f>
        <v>538.22</v>
      </c>
      <c r="V70" s="53"/>
      <c r="W70" s="53"/>
    </row>
    <row r="71" spans="1:23">
      <c r="A71" s="53" t="s">
        <v>188</v>
      </c>
      <c r="B71" s="53" t="s">
        <v>127</v>
      </c>
      <c r="C71" s="53" t="s">
        <v>79</v>
      </c>
      <c r="D71" s="53">
        <v>40</v>
      </c>
      <c r="E71" s="53">
        <v>0.59399999999999997</v>
      </c>
      <c r="F71" s="53">
        <v>40</v>
      </c>
      <c r="G71" s="53">
        <v>0</v>
      </c>
      <c r="H71" s="53">
        <v>0.75800000000000001</v>
      </c>
      <c r="I71" s="53">
        <v>7.5471000000000004</v>
      </c>
      <c r="J71" s="53">
        <v>0</v>
      </c>
      <c r="K71" s="53">
        <v>0</v>
      </c>
      <c r="L71" s="53">
        <v>350</v>
      </c>
      <c r="M71" s="53">
        <v>0.67</v>
      </c>
      <c r="N71" s="53" t="s">
        <v>189</v>
      </c>
      <c r="O71" s="36" t="s">
        <v>94</v>
      </c>
      <c r="P71" s="53"/>
      <c r="Q71" s="53"/>
      <c r="R71" s="67" t="str">
        <f t="shared" si="0"/>
        <v>Stor_EF-Gas</v>
      </c>
      <c r="S71" s="53">
        <f>IFERROR(MATCH(R71,'CostModel Coef'!$B$8:$B$11,0),0)</f>
        <v>4</v>
      </c>
      <c r="T71" s="53"/>
      <c r="U71" s="69">
        <f>IF(S71&gt;0,ROUND((INDEX('CostModel Coef'!$C$8:$C$11,S71)+INDEX('CostModel Coef'!$D$8:$D$11,S71)+INDEX('CostModel Coef'!$F$8:$F$11,S71)*E71+INDEX('CostModel Coef'!$O$8:$O$11,S71)*D71+IF(K71&gt;10,INDEX('CostModel Coef'!$R$8:$R$11,S71),0))*(1+INDEX('CostModel Coef'!$S$8:$S$12,S71)),2),"")</f>
        <v>575.78</v>
      </c>
      <c r="V71" s="53"/>
      <c r="W71" s="53"/>
    </row>
    <row r="72" spans="1:23">
      <c r="A72" s="53" t="s">
        <v>190</v>
      </c>
      <c r="B72" s="53" t="s">
        <v>78</v>
      </c>
      <c r="C72" s="53" t="s">
        <v>79</v>
      </c>
      <c r="D72" s="53">
        <v>40</v>
      </c>
      <c r="E72" s="53">
        <v>0.61499999999999999</v>
      </c>
      <c r="F72" s="53">
        <v>40</v>
      </c>
      <c r="G72" s="53">
        <v>0</v>
      </c>
      <c r="H72" s="53">
        <v>0.76</v>
      </c>
      <c r="I72" s="53">
        <v>6.4278000000000004</v>
      </c>
      <c r="J72" s="53">
        <v>0</v>
      </c>
      <c r="K72" s="53">
        <v>0</v>
      </c>
      <c r="L72" s="53">
        <v>350</v>
      </c>
      <c r="M72" s="53">
        <v>0.67</v>
      </c>
      <c r="N72" s="53" t="s">
        <v>191</v>
      </c>
      <c r="O72" s="36" t="s">
        <v>94</v>
      </c>
      <c r="P72" s="53"/>
      <c r="Q72" s="53"/>
      <c r="R72" s="67" t="str">
        <f t="shared" si="0"/>
        <v>Stor_EF-Gas</v>
      </c>
      <c r="S72" s="53">
        <f>IFERROR(MATCH(R72,'CostModel Coef'!$B$8:$B$11,0),0)</f>
        <v>4</v>
      </c>
      <c r="T72" s="53"/>
      <c r="U72" s="69">
        <f>IF(S72&gt;0,ROUND((INDEX('CostModel Coef'!$C$8:$C$11,S72)+INDEX('CostModel Coef'!$D$8:$D$11,S72)+INDEX('CostModel Coef'!$F$8:$F$11,S72)*E72+INDEX('CostModel Coef'!$O$8:$O$11,S72)*D72+IF(K72&gt;10,INDEX('CostModel Coef'!$R$8:$R$11,S72),0))*(1+INDEX('CostModel Coef'!$S$8:$S$12,S72)),2),"")</f>
        <v>632.11</v>
      </c>
      <c r="V72" s="53"/>
      <c r="W72" s="53"/>
    </row>
    <row r="73" spans="1:23">
      <c r="A73" s="53" t="s">
        <v>192</v>
      </c>
      <c r="B73" s="53" t="s">
        <v>127</v>
      </c>
      <c r="C73" s="53" t="s">
        <v>79</v>
      </c>
      <c r="D73" s="53">
        <v>40</v>
      </c>
      <c r="E73" s="53">
        <v>0.62</v>
      </c>
      <c r="F73" s="53"/>
      <c r="G73" s="53"/>
      <c r="H73" s="53"/>
      <c r="I73" s="53"/>
      <c r="J73" s="53">
        <v>0</v>
      </c>
      <c r="K73" s="53">
        <v>0</v>
      </c>
      <c r="L73" s="53">
        <v>0</v>
      </c>
      <c r="M73" s="53">
        <v>0</v>
      </c>
      <c r="N73" s="53" t="s">
        <v>193</v>
      </c>
      <c r="O73" s="36" t="s">
        <v>94</v>
      </c>
      <c r="P73" s="53"/>
      <c r="Q73" s="53"/>
      <c r="R73" s="67" t="str">
        <f t="shared" si="0"/>
        <v>Stor_EF-Gas</v>
      </c>
      <c r="S73" s="53">
        <f>IFERROR(MATCH(R73,'CostModel Coef'!$B$8:$B$11,0),0)</f>
        <v>4</v>
      </c>
      <c r="T73" s="53"/>
      <c r="U73" s="69">
        <f>IF(S73&gt;0,ROUND((INDEX('CostModel Coef'!$C$8:$C$11,S73)+INDEX('CostModel Coef'!$D$8:$D$11,S73)+INDEX('CostModel Coef'!$F$8:$F$11,S73)*E73+INDEX('CostModel Coef'!$O$8:$O$11,S73)*D73+IF(K73&gt;10,INDEX('CostModel Coef'!$R$8:$R$11,S73),0))*(1+INDEX('CostModel Coef'!$S$8:$S$12,S73)),2),"")</f>
        <v>645.52</v>
      </c>
      <c r="V73" s="53"/>
      <c r="W73" s="53"/>
    </row>
    <row r="74" spans="1:23">
      <c r="A74" s="53" t="s">
        <v>194</v>
      </c>
      <c r="B74" s="53" t="s">
        <v>78</v>
      </c>
      <c r="C74" s="53" t="s">
        <v>79</v>
      </c>
      <c r="D74" s="53">
        <v>40</v>
      </c>
      <c r="E74" s="53">
        <v>0.65</v>
      </c>
      <c r="F74" s="53">
        <v>40</v>
      </c>
      <c r="G74" s="53">
        <v>0</v>
      </c>
      <c r="H74" s="53">
        <v>0.76</v>
      </c>
      <c r="I74" s="53">
        <v>4.5952000000000002</v>
      </c>
      <c r="J74" s="53">
        <v>0</v>
      </c>
      <c r="K74" s="53">
        <v>0</v>
      </c>
      <c r="L74" s="53">
        <v>350</v>
      </c>
      <c r="M74" s="53">
        <v>0.67</v>
      </c>
      <c r="N74" s="53" t="s">
        <v>195</v>
      </c>
      <c r="O74" s="36" t="s">
        <v>94</v>
      </c>
      <c r="P74" s="53"/>
      <c r="Q74" s="53"/>
      <c r="R74" s="67" t="str">
        <f t="shared" si="0"/>
        <v>Stor_EF-Gas</v>
      </c>
      <c r="S74" s="53">
        <f>IFERROR(MATCH(R74,'CostModel Coef'!$B$8:$B$11,0),0)</f>
        <v>4</v>
      </c>
      <c r="T74" s="53"/>
      <c r="U74" s="69">
        <f>IF(S74&gt;0,ROUND((INDEX('CostModel Coef'!$C$8:$C$11,S74)+INDEX('CostModel Coef'!$D$8:$D$11,S74)+INDEX('CostModel Coef'!$F$8:$F$11,S74)*E74+INDEX('CostModel Coef'!$O$8:$O$11,S74)*D74+IF(K74&gt;10,INDEX('CostModel Coef'!$R$8:$R$11,S74),0))*(1+INDEX('CostModel Coef'!$S$8:$S$12,S74)),2),"")</f>
        <v>725.99</v>
      </c>
      <c r="V74" s="53"/>
      <c r="W74" s="53"/>
    </row>
    <row r="75" spans="1:23">
      <c r="A75" s="53" t="s">
        <v>196</v>
      </c>
      <c r="B75" s="53" t="s">
        <v>127</v>
      </c>
      <c r="C75" s="53" t="s">
        <v>79</v>
      </c>
      <c r="D75" s="53">
        <v>40</v>
      </c>
      <c r="E75" s="53">
        <v>0.67</v>
      </c>
      <c r="F75" s="53">
        <v>40</v>
      </c>
      <c r="G75" s="53">
        <v>0</v>
      </c>
      <c r="H75" s="53">
        <v>0.80100000000000005</v>
      </c>
      <c r="I75" s="53">
        <v>4.6100000000000003</v>
      </c>
      <c r="J75" s="53">
        <v>0</v>
      </c>
      <c r="K75" s="53">
        <v>0</v>
      </c>
      <c r="L75" s="53">
        <v>350</v>
      </c>
      <c r="M75" s="53">
        <v>0.67</v>
      </c>
      <c r="N75" s="53" t="s">
        <v>197</v>
      </c>
      <c r="O75" s="36" t="s">
        <v>94</v>
      </c>
      <c r="P75" s="53"/>
      <c r="Q75" s="53"/>
      <c r="R75" s="67" t="str">
        <f t="shared" si="0"/>
        <v>Stor_EF-Gas</v>
      </c>
      <c r="S75" s="53">
        <f>IFERROR(MATCH(R75,'CostModel Coef'!$B$8:$B$11,0),0)</f>
        <v>4</v>
      </c>
      <c r="T75" s="53"/>
      <c r="U75" s="69">
        <f>IF(S75&gt;0,ROUND((INDEX('CostModel Coef'!$C$8:$C$11,S75)+INDEX('CostModel Coef'!$D$8:$D$11,S75)+INDEX('CostModel Coef'!$F$8:$F$11,S75)*E75+INDEX('CostModel Coef'!$O$8:$O$11,S75)*D75+IF(K75&gt;10,INDEX('CostModel Coef'!$R$8:$R$11,S75),0))*(1+INDEX('CostModel Coef'!$S$8:$S$12,S75)),2),"")</f>
        <v>779.64</v>
      </c>
      <c r="V75" s="53"/>
      <c r="W75" s="53"/>
    </row>
    <row r="76" spans="1:23">
      <c r="A76" s="53" t="s">
        <v>198</v>
      </c>
      <c r="B76" s="53" t="s">
        <v>78</v>
      </c>
      <c r="C76" s="53" t="s">
        <v>79</v>
      </c>
      <c r="D76" s="53">
        <v>40</v>
      </c>
      <c r="E76" s="53">
        <v>0.7</v>
      </c>
      <c r="F76" s="53">
        <v>40</v>
      </c>
      <c r="G76" s="53">
        <v>0</v>
      </c>
      <c r="H76" s="53">
        <v>0.82</v>
      </c>
      <c r="I76" s="53">
        <v>4.6315999999999997</v>
      </c>
      <c r="J76" s="53">
        <v>0</v>
      </c>
      <c r="K76" s="53">
        <v>0</v>
      </c>
      <c r="L76" s="53">
        <v>350</v>
      </c>
      <c r="M76" s="53">
        <v>0.67</v>
      </c>
      <c r="N76" s="53" t="s">
        <v>199</v>
      </c>
      <c r="O76" s="36" t="s">
        <v>94</v>
      </c>
      <c r="P76" s="53"/>
      <c r="Q76" s="53"/>
      <c r="R76" s="67" t="str">
        <f t="shared" si="0"/>
        <v>Stor_EF-Gas</v>
      </c>
      <c r="S76" s="53">
        <f>IFERROR(MATCH(R76,'CostModel Coef'!$B$8:$B$11,0),0)</f>
        <v>4</v>
      </c>
      <c r="T76" s="53"/>
      <c r="U76" s="69">
        <f>IF(S76&gt;0,ROUND((INDEX('CostModel Coef'!$C$8:$C$11,S76)+INDEX('CostModel Coef'!$D$8:$D$11,S76)+INDEX('CostModel Coef'!$F$8:$F$11,S76)*E76+INDEX('CostModel Coef'!$O$8:$O$11,S76)*D76+IF(K76&gt;10,INDEX('CostModel Coef'!$R$8:$R$11,S76),0))*(1+INDEX('CostModel Coef'!$S$8:$S$12,S76)),2),"")</f>
        <v>860.11</v>
      </c>
      <c r="V76" s="53"/>
      <c r="W76" s="53"/>
    </row>
    <row r="77" spans="1:23">
      <c r="A77" s="53" t="s">
        <v>200</v>
      </c>
      <c r="B77" s="53" t="s">
        <v>127</v>
      </c>
      <c r="C77" s="53" t="s">
        <v>79</v>
      </c>
      <c r="D77" s="53">
        <v>40</v>
      </c>
      <c r="E77" s="53">
        <v>0.7</v>
      </c>
      <c r="F77" s="53"/>
      <c r="G77" s="53"/>
      <c r="H77" s="53"/>
      <c r="I77" s="53"/>
      <c r="J77" s="53">
        <v>0</v>
      </c>
      <c r="K77" s="53">
        <v>0</v>
      </c>
      <c r="L77" s="53">
        <v>0</v>
      </c>
      <c r="M77" s="53">
        <v>0</v>
      </c>
      <c r="N77" s="53" t="s">
        <v>201</v>
      </c>
      <c r="O77" s="36" t="s">
        <v>94</v>
      </c>
      <c r="P77" s="53"/>
      <c r="Q77" s="53"/>
      <c r="R77" s="67" t="str">
        <f t="shared" si="0"/>
        <v>Stor_EF-Gas</v>
      </c>
      <c r="S77" s="53">
        <f>IFERROR(MATCH(R77,'CostModel Coef'!$B$8:$B$11,0),0)</f>
        <v>4</v>
      </c>
      <c r="T77" s="53"/>
      <c r="U77" s="69">
        <f>IF(S77&gt;0,ROUND((INDEX('CostModel Coef'!$C$8:$C$11,S77)+INDEX('CostModel Coef'!$D$8:$D$11,S77)+INDEX('CostModel Coef'!$F$8:$F$11,S77)*E77+INDEX('CostModel Coef'!$O$8:$O$11,S77)*D77+IF(K77&gt;10,INDEX('CostModel Coef'!$R$8:$R$11,S77),0))*(1+INDEX('CostModel Coef'!$S$8:$S$12,S77)),2),"")</f>
        <v>860.11</v>
      </c>
      <c r="V77" s="53"/>
      <c r="W77" s="53"/>
    </row>
    <row r="78" spans="1:23">
      <c r="A78" s="53" t="s">
        <v>202</v>
      </c>
      <c r="B78" s="53" t="s">
        <v>78</v>
      </c>
      <c r="C78" s="53" t="s">
        <v>79</v>
      </c>
      <c r="D78" s="53">
        <v>40</v>
      </c>
      <c r="E78" s="53">
        <v>0.82</v>
      </c>
      <c r="F78" s="53">
        <v>40</v>
      </c>
      <c r="G78" s="53">
        <v>0</v>
      </c>
      <c r="H78" s="53">
        <v>0.9</v>
      </c>
      <c r="I78" s="53">
        <v>2.6110000000000002</v>
      </c>
      <c r="J78" s="53">
        <v>0</v>
      </c>
      <c r="K78" s="53">
        <v>50</v>
      </c>
      <c r="L78" s="53">
        <v>350</v>
      </c>
      <c r="M78" s="53">
        <v>0.67</v>
      </c>
      <c r="N78" s="53" t="s">
        <v>203</v>
      </c>
      <c r="O78" s="36" t="s">
        <v>94</v>
      </c>
      <c r="P78" s="53"/>
      <c r="Q78" s="53"/>
      <c r="R78" s="67" t="str">
        <f t="shared" si="0"/>
        <v>Stor_EF-Gas</v>
      </c>
      <c r="S78" s="53">
        <f>IFERROR(MATCH(R78,'CostModel Coef'!$B$8:$B$11,0),0)</f>
        <v>4</v>
      </c>
      <c r="T78" s="53"/>
      <c r="U78" s="69">
        <f>IF(S78&gt;0,ROUND((INDEX('CostModel Coef'!$C$8:$C$11,S78)+INDEX('CostModel Coef'!$D$8:$D$11,S78)+INDEX('CostModel Coef'!$F$8:$F$11,S78)*E78+INDEX('CostModel Coef'!$O$8:$O$11,S78)*D78+IF(K78&gt;10,INDEX('CostModel Coef'!$R$8:$R$11,S78),0))*(1+INDEX('CostModel Coef'!$S$8:$S$12,S78)),2),"")</f>
        <v>1726.18</v>
      </c>
      <c r="V78" s="53"/>
      <c r="W78" s="69"/>
    </row>
    <row r="79" spans="1:23">
      <c r="A79" s="53" t="s">
        <v>204</v>
      </c>
      <c r="B79" s="53" t="s">
        <v>127</v>
      </c>
      <c r="C79" s="53" t="s">
        <v>79</v>
      </c>
      <c r="D79" s="53">
        <v>50</v>
      </c>
      <c r="E79" s="53">
        <v>0.56999999999999995</v>
      </c>
      <c r="F79" s="53">
        <v>40</v>
      </c>
      <c r="G79" s="53">
        <v>0</v>
      </c>
      <c r="H79" s="53">
        <v>0.76300000000000001</v>
      </c>
      <c r="I79" s="53">
        <v>9.2859999999999996</v>
      </c>
      <c r="J79" s="53">
        <v>0</v>
      </c>
      <c r="K79" s="53">
        <v>0</v>
      </c>
      <c r="L79" s="53">
        <v>350</v>
      </c>
      <c r="M79" s="53">
        <v>0.67</v>
      </c>
      <c r="N79" s="53" t="s">
        <v>205</v>
      </c>
      <c r="O79" s="36" t="s">
        <v>94</v>
      </c>
      <c r="P79" s="53"/>
      <c r="Q79" s="53"/>
      <c r="R79" s="67" t="str">
        <f t="shared" si="0"/>
        <v>Stor_EF-Gas</v>
      </c>
      <c r="S79" s="53">
        <f>IFERROR(MATCH(R79,'CostModel Coef'!$B$8:$B$11,0),0)</f>
        <v>4</v>
      </c>
      <c r="T79" s="53"/>
      <c r="U79" s="69">
        <f>IF(S79&gt;0,ROUND((INDEX('CostModel Coef'!$C$8:$C$11,S79)+INDEX('CostModel Coef'!$D$8:$D$11,S79)+INDEX('CostModel Coef'!$F$8:$F$11,S79)*E79+INDEX('CostModel Coef'!$O$8:$O$11,S79)*D79+IF(K79&gt;10,INDEX('CostModel Coef'!$R$8:$R$11,S79),0))*(1+INDEX('CostModel Coef'!$S$8:$S$12,S79)),2),"")</f>
        <v>615.67999999999995</v>
      </c>
      <c r="V79" s="53"/>
      <c r="W79" s="53"/>
    </row>
    <row r="80" spans="1:23">
      <c r="A80" s="53" t="s">
        <v>206</v>
      </c>
      <c r="B80" s="53" t="s">
        <v>78</v>
      </c>
      <c r="C80" s="53" t="s">
        <v>79</v>
      </c>
      <c r="D80" s="53">
        <v>50</v>
      </c>
      <c r="E80" s="53">
        <v>0.57499999999999996</v>
      </c>
      <c r="F80" s="53">
        <v>40</v>
      </c>
      <c r="G80" s="53">
        <v>0</v>
      </c>
      <c r="H80" s="53">
        <v>0.76300000000000001</v>
      </c>
      <c r="I80" s="53">
        <v>8.9603999999999999</v>
      </c>
      <c r="J80" s="53">
        <v>0</v>
      </c>
      <c r="K80" s="53">
        <v>0</v>
      </c>
      <c r="L80" s="53">
        <v>350</v>
      </c>
      <c r="M80" s="53">
        <v>0.67</v>
      </c>
      <c r="N80" s="53" t="s">
        <v>207</v>
      </c>
      <c r="O80" s="36" t="s">
        <v>94</v>
      </c>
      <c r="P80" s="53"/>
      <c r="Q80" s="53"/>
      <c r="R80" s="67" t="str">
        <f t="shared" si="0"/>
        <v>Stor_EF-Gas</v>
      </c>
      <c r="S80" s="53">
        <f>IFERROR(MATCH(R80,'CostModel Coef'!$B$8:$B$11,0),0)</f>
        <v>4</v>
      </c>
      <c r="T80" s="53"/>
      <c r="U80" s="69">
        <f>IF(S80&gt;0,ROUND((INDEX('CostModel Coef'!$C$8:$C$11,S80)+INDEX('CostModel Coef'!$D$8:$D$11,S80)+INDEX('CostModel Coef'!$F$8:$F$11,S80)*E80+INDEX('CostModel Coef'!$O$8:$O$11,S80)*D80+IF(K80&gt;10,INDEX('CostModel Coef'!$R$8:$R$11,S80),0))*(1+INDEX('CostModel Coef'!$S$8:$S$12,S80)),2),"")</f>
        <v>629.09</v>
      </c>
      <c r="V80" s="53"/>
      <c r="W80" s="53"/>
    </row>
    <row r="81" spans="1:23">
      <c r="A81" s="53" t="s">
        <v>208</v>
      </c>
      <c r="B81" s="53" t="s">
        <v>78</v>
      </c>
      <c r="C81" s="53" t="s">
        <v>79</v>
      </c>
      <c r="D81" s="53">
        <v>50</v>
      </c>
      <c r="E81" s="53">
        <v>0.6</v>
      </c>
      <c r="F81" s="53">
        <v>40</v>
      </c>
      <c r="G81" s="53">
        <v>0</v>
      </c>
      <c r="H81" s="53">
        <v>0.76300000000000001</v>
      </c>
      <c r="I81" s="53">
        <v>7.4203000000000001</v>
      </c>
      <c r="J81" s="53">
        <v>0</v>
      </c>
      <c r="K81" s="53">
        <v>0</v>
      </c>
      <c r="L81" s="53">
        <v>350</v>
      </c>
      <c r="M81" s="53">
        <v>0.67</v>
      </c>
      <c r="N81" s="53" t="s">
        <v>209</v>
      </c>
      <c r="O81" s="36" t="s">
        <v>94</v>
      </c>
      <c r="P81" s="53"/>
      <c r="Q81" s="53"/>
      <c r="R81" s="67" t="str">
        <f t="shared" si="0"/>
        <v>Stor_EF-Gas</v>
      </c>
      <c r="S81" s="53">
        <f>IFERROR(MATCH(R81,'CostModel Coef'!$B$8:$B$11,0),0)</f>
        <v>4</v>
      </c>
      <c r="T81" s="53"/>
      <c r="U81" s="69">
        <f>IF(S81&gt;0,ROUND((INDEX('CostModel Coef'!$C$8:$C$11,S81)+INDEX('CostModel Coef'!$D$8:$D$11,S81)+INDEX('CostModel Coef'!$F$8:$F$11,S81)*E81+INDEX('CostModel Coef'!$O$8:$O$11,S81)*D81+IF(K81&gt;10,INDEX('CostModel Coef'!$R$8:$R$11,S81),0))*(1+INDEX('CostModel Coef'!$S$8:$S$12,S81)),2),"")</f>
        <v>696.15</v>
      </c>
      <c r="V81" s="53"/>
      <c r="W81" s="53"/>
    </row>
    <row r="82" spans="1:23">
      <c r="A82" s="53" t="s">
        <v>210</v>
      </c>
      <c r="B82" s="53" t="s">
        <v>127</v>
      </c>
      <c r="C82" s="53" t="s">
        <v>79</v>
      </c>
      <c r="D82" s="53">
        <v>50</v>
      </c>
      <c r="E82" s="53">
        <v>0.62</v>
      </c>
      <c r="F82" s="53"/>
      <c r="G82" s="53"/>
      <c r="H82" s="53"/>
      <c r="I82" s="53"/>
      <c r="J82" s="53">
        <v>0</v>
      </c>
      <c r="K82" s="53">
        <v>0</v>
      </c>
      <c r="L82" s="53">
        <v>0</v>
      </c>
      <c r="M82" s="53">
        <v>0</v>
      </c>
      <c r="N82" s="53" t="s">
        <v>211</v>
      </c>
      <c r="O82" s="36" t="s">
        <v>94</v>
      </c>
      <c r="P82" s="53"/>
      <c r="Q82" s="53"/>
      <c r="R82" s="67" t="str">
        <f t="shared" si="0"/>
        <v>Stor_EF-Gas</v>
      </c>
      <c r="S82" s="53">
        <f>IFERROR(MATCH(R82,'CostModel Coef'!$B$8:$B$11,0),0)</f>
        <v>4</v>
      </c>
      <c r="T82" s="53"/>
      <c r="U82" s="69">
        <f>IF(S82&gt;0,ROUND((INDEX('CostModel Coef'!$C$8:$C$11,S82)+INDEX('CostModel Coef'!$D$8:$D$11,S82)+INDEX('CostModel Coef'!$F$8:$F$11,S82)*E82+INDEX('CostModel Coef'!$O$8:$O$11,S82)*D82+IF(K82&gt;10,INDEX('CostModel Coef'!$R$8:$R$11,S82),0))*(1+INDEX('CostModel Coef'!$S$8:$S$12,S82)),2),"")</f>
        <v>749.8</v>
      </c>
      <c r="V82" s="53"/>
      <c r="W82" s="53"/>
    </row>
    <row r="83" spans="1:23">
      <c r="A83" s="53" t="s">
        <v>212</v>
      </c>
      <c r="B83" s="53" t="s">
        <v>127</v>
      </c>
      <c r="C83" s="53" t="s">
        <v>79</v>
      </c>
      <c r="D83" s="53">
        <v>50</v>
      </c>
      <c r="E83" s="53">
        <v>0.67</v>
      </c>
      <c r="F83" s="53">
        <v>40</v>
      </c>
      <c r="G83" s="53">
        <v>0</v>
      </c>
      <c r="H83" s="53">
        <v>0.79</v>
      </c>
      <c r="I83" s="53">
        <v>4.8531000000000004</v>
      </c>
      <c r="J83" s="53">
        <v>0</v>
      </c>
      <c r="K83" s="53">
        <v>0</v>
      </c>
      <c r="L83" s="53">
        <v>350</v>
      </c>
      <c r="M83" s="53">
        <v>0.67</v>
      </c>
      <c r="N83" s="53" t="s">
        <v>213</v>
      </c>
      <c r="O83" s="36" t="s">
        <v>94</v>
      </c>
      <c r="P83" s="53"/>
      <c r="Q83" s="53"/>
      <c r="R83" s="67" t="str">
        <f t="shared" si="0"/>
        <v>Stor_EF-Gas</v>
      </c>
      <c r="S83" s="53">
        <f>IFERROR(MATCH(R83,'CostModel Coef'!$B$8:$B$11,0),0)</f>
        <v>4</v>
      </c>
      <c r="T83" s="53"/>
      <c r="U83" s="69">
        <f>IF(S83&gt;0,ROUND((INDEX('CostModel Coef'!$C$8:$C$11,S83)+INDEX('CostModel Coef'!$D$8:$D$11,S83)+INDEX('CostModel Coef'!$F$8:$F$11,S83)*E83+INDEX('CostModel Coef'!$O$8:$O$11,S83)*D83+IF(K83&gt;10,INDEX('CostModel Coef'!$R$8:$R$11,S83),0))*(1+INDEX('CostModel Coef'!$S$8:$S$12,S83)),2),"")</f>
        <v>883.92</v>
      </c>
      <c r="V83" s="53"/>
      <c r="W83" s="53"/>
    </row>
    <row r="84" spans="1:23">
      <c r="A84" s="53" t="s">
        <v>214</v>
      </c>
      <c r="B84" s="53" t="s">
        <v>78</v>
      </c>
      <c r="C84" s="53" t="s">
        <v>79</v>
      </c>
      <c r="D84" s="53">
        <v>50</v>
      </c>
      <c r="E84" s="53">
        <v>0.7</v>
      </c>
      <c r="F84" s="53">
        <v>40</v>
      </c>
      <c r="G84" s="53">
        <v>0</v>
      </c>
      <c r="H84" s="53">
        <v>0.82</v>
      </c>
      <c r="I84" s="53">
        <v>4.6315999999999997</v>
      </c>
      <c r="J84" s="53">
        <v>0</v>
      </c>
      <c r="K84" s="53">
        <v>0</v>
      </c>
      <c r="L84" s="53">
        <v>350</v>
      </c>
      <c r="M84" s="53">
        <v>0.67</v>
      </c>
      <c r="N84" s="53" t="s">
        <v>215</v>
      </c>
      <c r="O84" s="36" t="s">
        <v>94</v>
      </c>
      <c r="P84" s="53"/>
      <c r="Q84" s="53"/>
      <c r="R84" s="67" t="str">
        <f t="shared" si="0"/>
        <v>Stor_EF-Gas</v>
      </c>
      <c r="S84" s="53">
        <f>IFERROR(MATCH(R84,'CostModel Coef'!$B$8:$B$11,0),0)</f>
        <v>4</v>
      </c>
      <c r="T84" s="53"/>
      <c r="U84" s="69">
        <f>IF(S84&gt;0,ROUND((INDEX('CostModel Coef'!$C$8:$C$11,S84)+INDEX('CostModel Coef'!$D$8:$D$11,S84)+INDEX('CostModel Coef'!$F$8:$F$11,S84)*E84+INDEX('CostModel Coef'!$O$8:$O$11,S84)*D84+IF(K84&gt;10,INDEX('CostModel Coef'!$R$8:$R$11,S84),0))*(1+INDEX('CostModel Coef'!$S$8:$S$12,S84)),2),"")</f>
        <v>964.39</v>
      </c>
      <c r="V84" s="53"/>
      <c r="W84" s="53"/>
    </row>
    <row r="85" spans="1:23">
      <c r="A85" s="53" t="s">
        <v>216</v>
      </c>
      <c r="B85" s="53" t="s">
        <v>127</v>
      </c>
      <c r="C85" s="53" t="s">
        <v>79</v>
      </c>
      <c r="D85" s="53">
        <v>50</v>
      </c>
      <c r="E85" s="53">
        <v>0.7</v>
      </c>
      <c r="F85" s="53"/>
      <c r="G85" s="53"/>
      <c r="H85" s="53"/>
      <c r="I85" s="53"/>
      <c r="J85" s="53">
        <v>0</v>
      </c>
      <c r="K85" s="53">
        <v>0</v>
      </c>
      <c r="L85" s="53">
        <v>0</v>
      </c>
      <c r="M85" s="53">
        <v>0</v>
      </c>
      <c r="N85" s="53" t="s">
        <v>201</v>
      </c>
      <c r="O85" s="36" t="s">
        <v>94</v>
      </c>
      <c r="P85" s="53"/>
      <c r="Q85" s="53"/>
      <c r="R85" s="67" t="str">
        <f t="shared" si="0"/>
        <v>Stor_EF-Gas</v>
      </c>
      <c r="S85" s="53">
        <f>IFERROR(MATCH(R85,'CostModel Coef'!$B$8:$B$11,0),0)</f>
        <v>4</v>
      </c>
      <c r="T85" s="53"/>
      <c r="U85" s="69">
        <f>IF(S85&gt;0,ROUND((INDEX('CostModel Coef'!$C$8:$C$11,S85)+INDEX('CostModel Coef'!$D$8:$D$11,S85)+INDEX('CostModel Coef'!$F$8:$F$11,S85)*E85+INDEX('CostModel Coef'!$O$8:$O$11,S85)*D85+IF(K85&gt;10,INDEX('CostModel Coef'!$R$8:$R$11,S85),0))*(1+INDEX('CostModel Coef'!$S$8:$S$12,S85)),2),"")</f>
        <v>964.39</v>
      </c>
      <c r="V85" s="53"/>
      <c r="W85" s="53"/>
    </row>
    <row r="86" spans="1:23">
      <c r="A86" s="53" t="s">
        <v>217</v>
      </c>
      <c r="B86" s="53" t="s">
        <v>78</v>
      </c>
      <c r="C86" s="53" t="s">
        <v>79</v>
      </c>
      <c r="D86" s="53">
        <v>50</v>
      </c>
      <c r="E86" s="53">
        <v>0.82</v>
      </c>
      <c r="F86" s="53">
        <v>40</v>
      </c>
      <c r="G86" s="53">
        <v>0</v>
      </c>
      <c r="H86" s="53">
        <v>0.9</v>
      </c>
      <c r="I86" s="53">
        <v>2.6110000000000002</v>
      </c>
      <c r="J86" s="53">
        <v>0</v>
      </c>
      <c r="K86" s="53">
        <v>50</v>
      </c>
      <c r="L86" s="53">
        <v>350</v>
      </c>
      <c r="M86" s="53">
        <v>0.67</v>
      </c>
      <c r="N86" s="53" t="s">
        <v>218</v>
      </c>
      <c r="O86" s="36" t="s">
        <v>94</v>
      </c>
      <c r="P86" s="53"/>
      <c r="Q86" s="53"/>
      <c r="R86" s="67" t="str">
        <f t="shared" si="0"/>
        <v>Stor_EF-Gas</v>
      </c>
      <c r="S86" s="24">
        <v>0</v>
      </c>
      <c r="T86" s="53"/>
      <c r="U86" s="69" t="str">
        <f>IF(S86&gt;0,ROUND((INDEX('CostModel Coef'!$C$8:$C$11,S86)+INDEX('CostModel Coef'!$D$8:$D$11,S86)+INDEX('CostModel Coef'!$F$8:$F$11,S86)*E86+INDEX('CostModel Coef'!$O$8:$O$11,S86)*D86+IF(K86&gt;10,INDEX('CostModel Coef'!$R$8:$R$11,S86),0))*(1+INDEX('CostModel Coef'!$S$8:$S$12,S86)),2),"")</f>
        <v/>
      </c>
      <c r="V86" s="53"/>
      <c r="W86" s="53" t="s">
        <v>181</v>
      </c>
    </row>
    <row r="87" spans="1:23">
      <c r="A87" s="53" t="s">
        <v>219</v>
      </c>
      <c r="B87" s="53" t="s">
        <v>127</v>
      </c>
      <c r="C87" s="53" t="s">
        <v>79</v>
      </c>
      <c r="D87" s="53">
        <v>60</v>
      </c>
      <c r="E87" s="53">
        <v>0.55600000000000005</v>
      </c>
      <c r="F87" s="53">
        <v>55</v>
      </c>
      <c r="G87" s="53">
        <v>0</v>
      </c>
      <c r="H87" s="53">
        <v>0.76</v>
      </c>
      <c r="I87" s="53">
        <v>9.8587000000000007</v>
      </c>
      <c r="J87" s="53">
        <v>0</v>
      </c>
      <c r="K87" s="53">
        <v>0</v>
      </c>
      <c r="L87" s="53">
        <v>350</v>
      </c>
      <c r="M87" s="53">
        <v>0.67</v>
      </c>
      <c r="N87" s="53" t="s">
        <v>220</v>
      </c>
      <c r="O87" s="36" t="s">
        <v>94</v>
      </c>
      <c r="P87" s="53"/>
      <c r="Q87" s="53"/>
      <c r="R87" s="67" t="str">
        <f t="shared" si="0"/>
        <v>Stor_EF-Gas</v>
      </c>
      <c r="S87" s="53">
        <f>IFERROR(MATCH(R87,'CostModel Coef'!$B$8:$B$11,0),0)</f>
        <v>4</v>
      </c>
      <c r="T87" s="53"/>
      <c r="U87" s="69">
        <f>IF(S87&gt;0,ROUND((INDEX('CostModel Coef'!$C$8:$C$11,S87)+INDEX('CostModel Coef'!$D$8:$D$11,S87)+INDEX('CostModel Coef'!$F$8:$F$11,S87)*E87+INDEX('CostModel Coef'!$O$8:$O$11,S87)*D87+IF(K87&gt;10,INDEX('CostModel Coef'!$R$8:$R$11,S87),0))*(1+INDEX('CostModel Coef'!$S$8:$S$12,S87)),2),"")</f>
        <v>682.4</v>
      </c>
      <c r="V87" s="53"/>
      <c r="W87" s="53"/>
    </row>
    <row r="88" spans="1:23">
      <c r="A88" s="53" t="s">
        <v>221</v>
      </c>
      <c r="B88" s="53" t="s">
        <v>127</v>
      </c>
      <c r="C88" s="53" t="s">
        <v>79</v>
      </c>
      <c r="D88" s="53">
        <v>60</v>
      </c>
      <c r="E88" s="53">
        <v>0.62</v>
      </c>
      <c r="F88" s="53"/>
      <c r="G88" s="53"/>
      <c r="H88" s="53"/>
      <c r="I88" s="53"/>
      <c r="J88" s="53">
        <v>0</v>
      </c>
      <c r="K88" s="53">
        <v>0</v>
      </c>
      <c r="L88" s="53">
        <v>0</v>
      </c>
      <c r="M88" s="53">
        <v>0</v>
      </c>
      <c r="N88" s="53" t="s">
        <v>222</v>
      </c>
      <c r="O88" s="36" t="s">
        <v>94</v>
      </c>
      <c r="P88" s="53"/>
      <c r="Q88" s="53"/>
      <c r="R88" s="67" t="str">
        <f t="shared" si="0"/>
        <v>Stor_EF-Gas</v>
      </c>
      <c r="S88" s="53">
        <f>IFERROR(MATCH(R88,'CostModel Coef'!$B$8:$B$11,0),0)</f>
        <v>4</v>
      </c>
      <c r="T88" s="53"/>
      <c r="U88" s="69">
        <f>IF(S88&gt;0,ROUND((INDEX('CostModel Coef'!$C$8:$C$11,S88)+INDEX('CostModel Coef'!$D$8:$D$11,S88)+INDEX('CostModel Coef'!$F$8:$F$11,S88)*E88+INDEX('CostModel Coef'!$O$8:$O$11,S88)*D88+IF(K88&gt;10,INDEX('CostModel Coef'!$R$8:$R$11,S88),0))*(1+INDEX('CostModel Coef'!$S$8:$S$12,S88)),2),"")</f>
        <v>854.08</v>
      </c>
      <c r="V88" s="53"/>
      <c r="W88" s="53"/>
    </row>
    <row r="89" spans="1:23">
      <c r="A89" s="53" t="s">
        <v>223</v>
      </c>
      <c r="B89" s="53" t="s">
        <v>127</v>
      </c>
      <c r="C89" s="53" t="s">
        <v>79</v>
      </c>
      <c r="D89" s="53">
        <v>60</v>
      </c>
      <c r="E89" s="53">
        <v>0.66</v>
      </c>
      <c r="F89" s="53"/>
      <c r="G89" s="53"/>
      <c r="H89" s="53"/>
      <c r="I89" s="53"/>
      <c r="J89" s="53">
        <v>0</v>
      </c>
      <c r="K89" s="53">
        <v>0</v>
      </c>
      <c r="L89" s="53">
        <v>0</v>
      </c>
      <c r="M89" s="53">
        <v>0</v>
      </c>
      <c r="N89" s="53" t="s">
        <v>224</v>
      </c>
      <c r="O89" s="36" t="s">
        <v>94</v>
      </c>
      <c r="P89" s="53"/>
      <c r="Q89" s="53"/>
      <c r="R89" s="67" t="str">
        <f t="shared" si="0"/>
        <v>Stor_EF-Gas</v>
      </c>
      <c r="S89" s="53">
        <f>IFERROR(MATCH(R89,'CostModel Coef'!$B$8:$B$11,0),0)</f>
        <v>4</v>
      </c>
      <c r="T89" s="53"/>
      <c r="U89" s="69">
        <f>IF(S89&gt;0,ROUND((INDEX('CostModel Coef'!$C$8:$C$11,S89)+INDEX('CostModel Coef'!$D$8:$D$11,S89)+INDEX('CostModel Coef'!$F$8:$F$11,S89)*E89+INDEX('CostModel Coef'!$O$8:$O$11,S89)*D89+IF(K89&gt;10,INDEX('CostModel Coef'!$R$8:$R$11,S89),0))*(1+INDEX('CostModel Coef'!$S$8:$S$12,S89)),2),"")</f>
        <v>961.37</v>
      </c>
      <c r="V89" s="53"/>
      <c r="W89" s="53"/>
    </row>
    <row r="90" spans="1:23">
      <c r="A90" s="53" t="s">
        <v>225</v>
      </c>
      <c r="B90" s="53" t="s">
        <v>78</v>
      </c>
      <c r="C90" s="53" t="s">
        <v>79</v>
      </c>
      <c r="D90" s="53">
        <v>60</v>
      </c>
      <c r="E90" s="53">
        <v>0.754</v>
      </c>
      <c r="F90" s="53">
        <v>40</v>
      </c>
      <c r="G90" s="53">
        <v>0</v>
      </c>
      <c r="H90" s="53">
        <v>0.85</v>
      </c>
      <c r="I90" s="53">
        <v>3.4239000000000002</v>
      </c>
      <c r="J90" s="53">
        <v>0</v>
      </c>
      <c r="K90" s="53">
        <v>50</v>
      </c>
      <c r="L90" s="53">
        <v>350</v>
      </c>
      <c r="M90" s="53">
        <v>0.67</v>
      </c>
      <c r="N90" s="53" t="s">
        <v>226</v>
      </c>
      <c r="O90" s="36" t="s">
        <v>94</v>
      </c>
      <c r="P90" s="53"/>
      <c r="Q90" s="53"/>
      <c r="R90" s="67" t="str">
        <f t="shared" si="0"/>
        <v>Stor_EF-Gas</v>
      </c>
      <c r="S90" s="24">
        <v>0</v>
      </c>
      <c r="T90" s="53"/>
      <c r="U90" s="69" t="str">
        <f>IF(S90&gt;0,ROUND((INDEX('CostModel Coef'!$C$8:$C$11,S90)+INDEX('CostModel Coef'!$D$8:$D$11,S90)+INDEX('CostModel Coef'!$F$8:$F$11,S90)*E90+INDEX('CostModel Coef'!$O$8:$O$11,S90)*D90+IF(K90&gt;10,INDEX('CostModel Coef'!$R$8:$R$11,S90),0))*(1+INDEX('CostModel Coef'!$S$8:$S$12,S90)),2),"")</f>
        <v/>
      </c>
      <c r="V90" s="53"/>
      <c r="W90" s="53" t="s">
        <v>181</v>
      </c>
    </row>
    <row r="91" spans="1:23">
      <c r="A91" s="53" t="s">
        <v>227</v>
      </c>
      <c r="B91" s="53" t="s">
        <v>78</v>
      </c>
      <c r="C91" s="53" t="s">
        <v>79</v>
      </c>
      <c r="D91" s="53">
        <v>60</v>
      </c>
      <c r="E91" s="53">
        <v>0.78</v>
      </c>
      <c r="F91" s="53">
        <v>40</v>
      </c>
      <c r="G91" s="53">
        <v>0</v>
      </c>
      <c r="H91" s="53">
        <v>0.9</v>
      </c>
      <c r="I91" s="53">
        <v>4.1289999999999996</v>
      </c>
      <c r="J91" s="53">
        <v>0</v>
      </c>
      <c r="K91" s="53">
        <v>50</v>
      </c>
      <c r="L91" s="53">
        <v>350</v>
      </c>
      <c r="M91" s="53">
        <v>0.67</v>
      </c>
      <c r="N91" s="53" t="s">
        <v>228</v>
      </c>
      <c r="O91" s="36" t="s">
        <v>94</v>
      </c>
      <c r="P91" s="53"/>
      <c r="Q91" s="53"/>
      <c r="R91" s="67" t="str">
        <f t="shared" si="0"/>
        <v>Stor_EF-Gas</v>
      </c>
      <c r="S91" s="24">
        <v>0</v>
      </c>
      <c r="T91" s="53"/>
      <c r="U91" s="69" t="str">
        <f>IF(S91&gt;0,ROUND((INDEX('CostModel Coef'!$C$8:$C$11,S91)+INDEX('CostModel Coef'!$D$8:$D$11,S91)+INDEX('CostModel Coef'!$F$8:$F$11,S91)*E91+INDEX('CostModel Coef'!$O$8:$O$11,S91)*D91+IF(K91&gt;10,INDEX('CostModel Coef'!$R$8:$R$11,S91),0))*(1+INDEX('CostModel Coef'!$S$8:$S$12,S91)),2),"")</f>
        <v/>
      </c>
      <c r="V91" s="53"/>
      <c r="W91" s="53" t="s">
        <v>181</v>
      </c>
    </row>
    <row r="92" spans="1:23">
      <c r="A92" s="53" t="s">
        <v>229</v>
      </c>
      <c r="B92" s="53" t="s">
        <v>127</v>
      </c>
      <c r="C92" s="53" t="s">
        <v>79</v>
      </c>
      <c r="D92" s="53">
        <v>60</v>
      </c>
      <c r="E92" s="53">
        <v>0.7</v>
      </c>
      <c r="F92" s="53"/>
      <c r="G92" s="53"/>
      <c r="H92" s="53"/>
      <c r="I92" s="53"/>
      <c r="J92" s="53">
        <v>0</v>
      </c>
      <c r="K92" s="53">
        <v>0</v>
      </c>
      <c r="L92" s="53">
        <v>0</v>
      </c>
      <c r="M92" s="53">
        <v>0</v>
      </c>
      <c r="N92" s="53" t="s">
        <v>230</v>
      </c>
      <c r="O92" s="36" t="s">
        <v>94</v>
      </c>
      <c r="P92" s="53"/>
      <c r="Q92" s="53"/>
      <c r="R92" s="67" t="str">
        <f t="shared" si="0"/>
        <v>Stor_EF-Gas</v>
      </c>
      <c r="S92" s="53">
        <f>IFERROR(MATCH(R92,'CostModel Coef'!$B$8:$B$11,0),0)</f>
        <v>4</v>
      </c>
      <c r="T92" s="53"/>
      <c r="U92" s="69">
        <f>IF(S92&gt;0,ROUND((INDEX('CostModel Coef'!$C$8:$C$11,S92)+INDEX('CostModel Coef'!$D$8:$D$11,S92)+INDEX('CostModel Coef'!$F$8:$F$11,S92)*E92+INDEX('CostModel Coef'!$O$8:$O$11,S92)*D92+IF(K92&gt;10,INDEX('CostModel Coef'!$R$8:$R$11,S92),0))*(1+INDEX('CostModel Coef'!$S$8:$S$12,S92)),2),"")</f>
        <v>1068.67</v>
      </c>
      <c r="V92" s="53"/>
      <c r="W92" s="53"/>
    </row>
    <row r="93" spans="1:23">
      <c r="A93" s="53" t="s">
        <v>231</v>
      </c>
      <c r="B93" s="53" t="s">
        <v>78</v>
      </c>
      <c r="C93" s="53" t="s">
        <v>79</v>
      </c>
      <c r="D93" s="53">
        <v>60</v>
      </c>
      <c r="E93" s="53">
        <v>0.8</v>
      </c>
      <c r="F93" s="53">
        <v>40</v>
      </c>
      <c r="G93" s="53">
        <v>0</v>
      </c>
      <c r="H93" s="53">
        <v>0.92</v>
      </c>
      <c r="I93" s="53">
        <v>4.0198999999999998</v>
      </c>
      <c r="J93" s="53">
        <v>0</v>
      </c>
      <c r="K93" s="53">
        <v>50</v>
      </c>
      <c r="L93" s="53">
        <v>350</v>
      </c>
      <c r="M93" s="53">
        <v>0.67</v>
      </c>
      <c r="N93" s="53" t="s">
        <v>232</v>
      </c>
      <c r="O93" s="36" t="s">
        <v>94</v>
      </c>
      <c r="P93" s="53"/>
      <c r="Q93" s="53"/>
      <c r="R93" s="67" t="str">
        <f t="shared" si="0"/>
        <v>Stor_EF-Gas</v>
      </c>
      <c r="S93" s="24">
        <v>0</v>
      </c>
      <c r="T93" s="53"/>
      <c r="U93" s="69" t="str">
        <f>IF(S93&gt;0,ROUND((INDEX('CostModel Coef'!$C$8:$C$11,S93)+INDEX('CostModel Coef'!$D$8:$D$11,S93)+INDEX('CostModel Coef'!$F$8:$F$11,S93)*E93+INDEX('CostModel Coef'!$O$8:$O$11,S93)*D93+IF(K93&gt;10,INDEX('CostModel Coef'!$R$8:$R$11,S93),0))*(1+INDEX('CostModel Coef'!$S$8:$S$12,S93)),2),"")</f>
        <v/>
      </c>
      <c r="V93" s="53"/>
      <c r="W93" s="53" t="s">
        <v>181</v>
      </c>
    </row>
    <row r="94" spans="1:23">
      <c r="A94" s="53" t="s">
        <v>233</v>
      </c>
      <c r="B94" s="53" t="s">
        <v>78</v>
      </c>
      <c r="C94" s="53" t="s">
        <v>79</v>
      </c>
      <c r="D94" s="53">
        <v>60</v>
      </c>
      <c r="E94" s="53">
        <v>0.82</v>
      </c>
      <c r="F94" s="53">
        <v>40</v>
      </c>
      <c r="G94" s="53">
        <v>0</v>
      </c>
      <c r="H94" s="53">
        <v>0.92</v>
      </c>
      <c r="I94" s="53">
        <v>3.2637</v>
      </c>
      <c r="J94" s="53">
        <v>0</v>
      </c>
      <c r="K94" s="53">
        <v>50</v>
      </c>
      <c r="L94" s="53">
        <v>350</v>
      </c>
      <c r="M94" s="53">
        <v>0.67</v>
      </c>
      <c r="N94" s="53" t="s">
        <v>234</v>
      </c>
      <c r="O94" s="36" t="s">
        <v>94</v>
      </c>
      <c r="P94" s="53"/>
      <c r="Q94" s="53"/>
      <c r="R94" s="67" t="str">
        <f t="shared" si="0"/>
        <v>Stor_EF-Gas</v>
      </c>
      <c r="S94" s="24">
        <v>0</v>
      </c>
      <c r="T94" s="53"/>
      <c r="U94" s="69" t="str">
        <f>IF(S94&gt;0,ROUND((INDEX('CostModel Coef'!$C$8:$C$11,S94)+INDEX('CostModel Coef'!$D$8:$D$11,S94)+INDEX('CostModel Coef'!$F$8:$F$11,S94)*E94+INDEX('CostModel Coef'!$O$8:$O$11,S94)*D94+IF(K94&gt;10,INDEX('CostModel Coef'!$R$8:$R$11,S94),0))*(1+INDEX('CostModel Coef'!$S$8:$S$12,S94)),2),"")</f>
        <v/>
      </c>
      <c r="V94" s="53"/>
      <c r="W94" s="53" t="s">
        <v>181</v>
      </c>
    </row>
    <row r="95" spans="1:23">
      <c r="A95" s="53" t="s">
        <v>235</v>
      </c>
      <c r="B95" s="53" t="s">
        <v>127</v>
      </c>
      <c r="C95" s="53" t="s">
        <v>79</v>
      </c>
      <c r="D95" s="53">
        <v>75</v>
      </c>
      <c r="E95" s="53">
        <v>0.48</v>
      </c>
      <c r="F95" s="53">
        <v>70</v>
      </c>
      <c r="G95" s="53">
        <v>0</v>
      </c>
      <c r="H95" s="53">
        <v>0.76</v>
      </c>
      <c r="I95" s="53">
        <v>15.590999999999999</v>
      </c>
      <c r="J95" s="53">
        <v>0</v>
      </c>
      <c r="K95" s="53">
        <v>0</v>
      </c>
      <c r="L95" s="53">
        <v>350</v>
      </c>
      <c r="M95" s="53">
        <v>0.67</v>
      </c>
      <c r="N95" s="53" t="s">
        <v>236</v>
      </c>
      <c r="O95" s="36" t="s">
        <v>94</v>
      </c>
      <c r="P95" s="53"/>
      <c r="Q95" s="53"/>
      <c r="R95" s="67" t="str">
        <f t="shared" si="0"/>
        <v>Stor_EF-Gas</v>
      </c>
      <c r="S95" s="24">
        <v>0</v>
      </c>
      <c r="T95" s="53"/>
      <c r="U95" s="69" t="str">
        <f>IF(S95&gt;0,ROUND((INDEX('CostModel Coef'!$C$8:$C$11,S95)+INDEX('CostModel Coef'!$D$8:$D$11,S95)+INDEX('CostModel Coef'!$F$8:$F$11,S95)*E95+INDEX('CostModel Coef'!$O$8:$O$11,S95)*D95+IF(K95&gt;10,INDEX('CostModel Coef'!$R$8:$R$11,S95),0))*(1+INDEX('CostModel Coef'!$S$8:$S$12,S95)),2),"")</f>
        <v/>
      </c>
      <c r="V95" s="53"/>
      <c r="W95" s="53" t="s">
        <v>237</v>
      </c>
    </row>
    <row r="96" spans="1:23">
      <c r="A96" s="53" t="s">
        <v>238</v>
      </c>
      <c r="B96" s="53" t="s">
        <v>127</v>
      </c>
      <c r="C96" s="53" t="s">
        <v>79</v>
      </c>
      <c r="D96" s="53">
        <v>75</v>
      </c>
      <c r="E96" s="53">
        <v>0.52800000000000002</v>
      </c>
      <c r="F96" s="53">
        <v>70</v>
      </c>
      <c r="G96" s="53">
        <v>0</v>
      </c>
      <c r="H96" s="53">
        <v>0.76</v>
      </c>
      <c r="I96" s="53">
        <v>11.6868</v>
      </c>
      <c r="J96" s="53">
        <v>0</v>
      </c>
      <c r="K96" s="53">
        <v>0</v>
      </c>
      <c r="L96" s="53">
        <v>350</v>
      </c>
      <c r="M96" s="53">
        <v>0.67</v>
      </c>
      <c r="N96" s="53" t="s">
        <v>239</v>
      </c>
      <c r="O96" s="36" t="s">
        <v>94</v>
      </c>
      <c r="P96" s="53"/>
      <c r="Q96" s="53"/>
      <c r="R96" s="67" t="str">
        <f t="shared" si="0"/>
        <v>Stor_EF-Gas</v>
      </c>
      <c r="S96" s="24">
        <v>0</v>
      </c>
      <c r="T96" s="53"/>
      <c r="U96" s="69" t="str">
        <f>IF(S96&gt;0,ROUND((INDEX('CostModel Coef'!$C$8:$C$11,S96)+INDEX('CostModel Coef'!$D$8:$D$11,S96)+INDEX('CostModel Coef'!$F$8:$F$11,S96)*E96+INDEX('CostModel Coef'!$O$8:$O$11,S96)*D96+IF(K96&gt;10,INDEX('CostModel Coef'!$R$8:$R$11,S96),0))*(1+INDEX('CostModel Coef'!$S$8:$S$12,S96)),2),"")</f>
        <v/>
      </c>
      <c r="V96" s="53"/>
      <c r="W96" s="53" t="s">
        <v>237</v>
      </c>
    </row>
    <row r="97" spans="1:23">
      <c r="A97" s="53" t="s">
        <v>240</v>
      </c>
      <c r="B97" s="53" t="s">
        <v>127</v>
      </c>
      <c r="C97" s="53" t="s">
        <v>79</v>
      </c>
      <c r="D97" s="53">
        <v>75</v>
      </c>
      <c r="E97" s="53">
        <v>0.62</v>
      </c>
      <c r="F97" s="53"/>
      <c r="G97" s="53"/>
      <c r="H97" s="53"/>
      <c r="I97" s="53"/>
      <c r="J97" s="53">
        <v>0</v>
      </c>
      <c r="K97" s="53">
        <v>0</v>
      </c>
      <c r="L97" s="53">
        <v>0</v>
      </c>
      <c r="M97" s="53">
        <v>0</v>
      </c>
      <c r="N97" s="53" t="s">
        <v>241</v>
      </c>
      <c r="O97" s="36" t="s">
        <v>94</v>
      </c>
      <c r="P97" s="53"/>
      <c r="Q97" s="53"/>
      <c r="R97" s="67" t="str">
        <f t="shared" si="0"/>
        <v>Stor_EF-Gas</v>
      </c>
      <c r="S97" s="24">
        <v>0</v>
      </c>
      <c r="T97" s="53"/>
      <c r="U97" s="69" t="str">
        <f>IF(S97&gt;0,ROUND((INDEX('CostModel Coef'!$C$8:$C$11,S97)+INDEX('CostModel Coef'!$D$8:$D$11,S97)+INDEX('CostModel Coef'!$F$8:$F$11,S97)*E97+INDEX('CostModel Coef'!$O$8:$O$11,S97)*D97+IF(K97&gt;10,INDEX('CostModel Coef'!$R$8:$R$11,S97),0))*(1+INDEX('CostModel Coef'!$S$8:$S$12,S97)),2),"")</f>
        <v/>
      </c>
      <c r="V97" s="53"/>
      <c r="W97" s="53" t="s">
        <v>237</v>
      </c>
    </row>
    <row r="98" spans="1:23">
      <c r="A98" s="53" t="s">
        <v>242</v>
      </c>
      <c r="B98" s="53" t="s">
        <v>127</v>
      </c>
      <c r="C98" s="53" t="s">
        <v>79</v>
      </c>
      <c r="D98" s="53">
        <v>75</v>
      </c>
      <c r="E98" s="53">
        <v>0.66</v>
      </c>
      <c r="F98" s="53"/>
      <c r="G98" s="53"/>
      <c r="H98" s="53"/>
      <c r="I98" s="53"/>
      <c r="J98" s="53">
        <v>0</v>
      </c>
      <c r="K98" s="53">
        <v>0</v>
      </c>
      <c r="L98" s="53">
        <v>0</v>
      </c>
      <c r="M98" s="53">
        <v>0</v>
      </c>
      <c r="N98" s="53" t="s">
        <v>243</v>
      </c>
      <c r="O98" s="36" t="s">
        <v>94</v>
      </c>
      <c r="P98" s="53"/>
      <c r="Q98" s="53"/>
      <c r="R98" s="67" t="str">
        <f t="shared" si="0"/>
        <v>Stor_EF-Gas</v>
      </c>
      <c r="S98" s="24">
        <v>0</v>
      </c>
      <c r="T98" s="53"/>
      <c r="U98" s="69" t="str">
        <f>IF(S98&gt;0,ROUND((INDEX('CostModel Coef'!$C$8:$C$11,S98)+INDEX('CostModel Coef'!$D$8:$D$11,S98)+INDEX('CostModel Coef'!$F$8:$F$11,S98)*E98+INDEX('CostModel Coef'!$O$8:$O$11,S98)*D98+IF(K98&gt;10,INDEX('CostModel Coef'!$R$8:$R$11,S98),0))*(1+INDEX('CostModel Coef'!$S$8:$S$12,S98)),2),"")</f>
        <v/>
      </c>
      <c r="V98" s="53"/>
      <c r="W98" s="53" t="s">
        <v>237</v>
      </c>
    </row>
    <row r="99" spans="1:23">
      <c r="A99" s="53" t="s">
        <v>244</v>
      </c>
      <c r="B99" s="53" t="s">
        <v>78</v>
      </c>
      <c r="C99" s="53" t="s">
        <v>79</v>
      </c>
      <c r="D99" s="53">
        <v>75</v>
      </c>
      <c r="E99" s="53">
        <v>0.74299999999999999</v>
      </c>
      <c r="F99" s="53">
        <v>70</v>
      </c>
      <c r="G99" s="53">
        <v>0</v>
      </c>
      <c r="H99" s="53">
        <v>0.88</v>
      </c>
      <c r="I99" s="53">
        <v>4.8362999999999996</v>
      </c>
      <c r="J99" s="53">
        <v>0</v>
      </c>
      <c r="K99" s="53">
        <v>50</v>
      </c>
      <c r="L99" s="53">
        <v>350</v>
      </c>
      <c r="M99" s="53">
        <v>0.67</v>
      </c>
      <c r="N99" s="53" t="s">
        <v>245</v>
      </c>
      <c r="O99" s="36" t="s">
        <v>94</v>
      </c>
      <c r="P99" s="53"/>
      <c r="Q99" s="53"/>
      <c r="R99" s="67" t="str">
        <f t="shared" si="0"/>
        <v>Stor_EF-Gas</v>
      </c>
      <c r="S99" s="24">
        <v>0</v>
      </c>
      <c r="T99" s="53"/>
      <c r="U99" s="69" t="str">
        <f>IF(S99&gt;0,ROUND((INDEX('CostModel Coef'!$C$8:$C$11,S99)+INDEX('CostModel Coef'!$D$8:$D$11,S99)+INDEX('CostModel Coef'!$F$8:$F$11,S99)*E99+INDEX('CostModel Coef'!$O$8:$O$11,S99)*D99+IF(K99&gt;10,INDEX('CostModel Coef'!$R$8:$R$11,S99),0))*(1+INDEX('CostModel Coef'!$S$8:$S$12,S99)),2),"")</f>
        <v/>
      </c>
      <c r="V99" s="53"/>
      <c r="W99" s="53" t="s">
        <v>237</v>
      </c>
    </row>
    <row r="100" spans="1:23">
      <c r="A100" s="53" t="s">
        <v>246</v>
      </c>
      <c r="B100" s="53" t="s">
        <v>78</v>
      </c>
      <c r="C100" s="53" t="s">
        <v>79</v>
      </c>
      <c r="D100" s="53">
        <v>75</v>
      </c>
      <c r="E100" s="53">
        <v>0.78</v>
      </c>
      <c r="F100" s="53">
        <v>70</v>
      </c>
      <c r="G100" s="53">
        <v>0</v>
      </c>
      <c r="H100" s="53">
        <v>0.9</v>
      </c>
      <c r="I100" s="53">
        <v>4.0286999999999997</v>
      </c>
      <c r="J100" s="53">
        <v>0</v>
      </c>
      <c r="K100" s="53">
        <v>50</v>
      </c>
      <c r="L100" s="53">
        <v>350</v>
      </c>
      <c r="M100" s="53">
        <v>0.67</v>
      </c>
      <c r="N100" s="53" t="s">
        <v>247</v>
      </c>
      <c r="O100" s="36" t="s">
        <v>94</v>
      </c>
      <c r="P100" s="53"/>
      <c r="Q100" s="53"/>
      <c r="R100" s="67" t="str">
        <f t="shared" si="0"/>
        <v>Stor_EF-Gas</v>
      </c>
      <c r="S100" s="24">
        <v>0</v>
      </c>
      <c r="T100" s="53"/>
      <c r="U100" s="69" t="str">
        <f>IF(S100&gt;0,ROUND((INDEX('CostModel Coef'!$C$8:$C$11,S100)+INDEX('CostModel Coef'!$D$8:$D$11,S100)+INDEX('CostModel Coef'!$F$8:$F$11,S100)*E100+INDEX('CostModel Coef'!$O$8:$O$11,S100)*D100+IF(K100&gt;10,INDEX('CostModel Coef'!$R$8:$R$11,S100),0))*(1+INDEX('CostModel Coef'!$S$8:$S$12,S100)),2),"")</f>
        <v/>
      </c>
      <c r="V100" s="53"/>
      <c r="W100" s="53" t="s">
        <v>237</v>
      </c>
    </row>
    <row r="101" spans="1:23">
      <c r="A101" s="53" t="s">
        <v>248</v>
      </c>
      <c r="B101" s="53" t="s">
        <v>127</v>
      </c>
      <c r="C101" s="53" t="s">
        <v>79</v>
      </c>
      <c r="D101" s="53">
        <v>75</v>
      </c>
      <c r="E101" s="53">
        <v>0.7</v>
      </c>
      <c r="F101" s="53"/>
      <c r="G101" s="53"/>
      <c r="H101" s="53"/>
      <c r="I101" s="53"/>
      <c r="J101" s="53">
        <v>0</v>
      </c>
      <c r="K101" s="53">
        <v>0</v>
      </c>
      <c r="L101" s="53">
        <v>0</v>
      </c>
      <c r="M101" s="53">
        <v>0</v>
      </c>
      <c r="N101" s="53" t="s">
        <v>249</v>
      </c>
      <c r="O101" s="36" t="s">
        <v>94</v>
      </c>
      <c r="P101" s="53"/>
      <c r="Q101" s="53"/>
      <c r="R101" s="67" t="str">
        <f t="shared" si="0"/>
        <v>Stor_EF-Gas</v>
      </c>
      <c r="S101" s="24">
        <v>0</v>
      </c>
      <c r="T101" s="53"/>
      <c r="U101" s="69" t="str">
        <f>IF(S101&gt;0,ROUND((INDEX('CostModel Coef'!$C$8:$C$11,S101)+INDEX('CostModel Coef'!$D$8:$D$11,S101)+INDEX('CostModel Coef'!$F$8:$F$11,S101)*E101+INDEX('CostModel Coef'!$O$8:$O$11,S101)*D101+IF(K101&gt;10,INDEX('CostModel Coef'!$R$8:$R$11,S101),0))*(1+INDEX('CostModel Coef'!$S$8:$S$12,S101)),2),"")</f>
        <v/>
      </c>
      <c r="V101" s="53"/>
      <c r="W101" s="53" t="s">
        <v>237</v>
      </c>
    </row>
    <row r="102" spans="1:23">
      <c r="A102" s="53" t="s">
        <v>250</v>
      </c>
      <c r="B102" s="53" t="s">
        <v>78</v>
      </c>
      <c r="C102" s="53" t="s">
        <v>79</v>
      </c>
      <c r="D102" s="53">
        <v>75</v>
      </c>
      <c r="E102" s="53">
        <v>0.8</v>
      </c>
      <c r="F102" s="53">
        <v>70</v>
      </c>
      <c r="G102" s="53">
        <v>0</v>
      </c>
      <c r="H102" s="53">
        <v>0.92</v>
      </c>
      <c r="I102" s="53">
        <v>3.9247999999999998</v>
      </c>
      <c r="J102" s="53">
        <v>0</v>
      </c>
      <c r="K102" s="53">
        <v>50</v>
      </c>
      <c r="L102" s="53">
        <v>350</v>
      </c>
      <c r="M102" s="53">
        <v>0.67</v>
      </c>
      <c r="N102" s="53" t="s">
        <v>251</v>
      </c>
      <c r="O102" s="36" t="s">
        <v>94</v>
      </c>
      <c r="P102" s="53"/>
      <c r="Q102" s="53"/>
      <c r="R102" s="67" t="str">
        <f t="shared" si="0"/>
        <v>Stor_EF-Gas</v>
      </c>
      <c r="S102" s="24">
        <v>0</v>
      </c>
      <c r="T102" s="53"/>
      <c r="U102" s="69" t="str">
        <f>IF(S102&gt;0,ROUND((INDEX('CostModel Coef'!$C$8:$C$11,S102)+INDEX('CostModel Coef'!$D$8:$D$11,S102)+INDEX('CostModel Coef'!$F$8:$F$11,S102)*E102+INDEX('CostModel Coef'!$O$8:$O$11,S102)*D102+IF(K102&gt;10,INDEX('CostModel Coef'!$R$8:$R$11,S102),0))*(1+INDEX('CostModel Coef'!$S$8:$S$12,S102)),2),"")</f>
        <v/>
      </c>
      <c r="V102" s="53"/>
      <c r="W102" s="53" t="s">
        <v>237</v>
      </c>
    </row>
    <row r="103" spans="1:23">
      <c r="A103" s="53" t="s">
        <v>252</v>
      </c>
      <c r="B103" s="53" t="s">
        <v>78</v>
      </c>
      <c r="C103" s="53" t="s">
        <v>79</v>
      </c>
      <c r="D103" s="53">
        <v>75</v>
      </c>
      <c r="E103" s="53">
        <v>0.82</v>
      </c>
      <c r="F103" s="53">
        <v>70</v>
      </c>
      <c r="G103" s="53">
        <v>0</v>
      </c>
      <c r="H103" s="53">
        <v>0.94</v>
      </c>
      <c r="I103" s="53">
        <v>3.8260999999999998</v>
      </c>
      <c r="J103" s="53">
        <v>0</v>
      </c>
      <c r="K103" s="53">
        <v>50</v>
      </c>
      <c r="L103" s="53">
        <v>350</v>
      </c>
      <c r="M103" s="53">
        <v>0.67</v>
      </c>
      <c r="N103" s="53" t="s">
        <v>253</v>
      </c>
      <c r="O103" s="36" t="s">
        <v>94</v>
      </c>
      <c r="P103" s="53"/>
      <c r="Q103" s="53"/>
      <c r="R103" s="67" t="str">
        <f t="shared" si="0"/>
        <v>Stor_EF-Gas</v>
      </c>
      <c r="S103" s="24">
        <v>0</v>
      </c>
      <c r="T103" s="53"/>
      <c r="U103" s="69" t="str">
        <f>IF(S103&gt;0,ROUND((INDEX('CostModel Coef'!$C$8:$C$11,S103)+INDEX('CostModel Coef'!$D$8:$D$11,S103)+INDEX('CostModel Coef'!$F$8:$F$11,S103)*E103+INDEX('CostModel Coef'!$O$8:$O$11,S103)*D103+IF(K103&gt;10,INDEX('CostModel Coef'!$R$8:$R$11,S103),0))*(1+INDEX('CostModel Coef'!$S$8:$S$12,S103)),2),"")</f>
        <v/>
      </c>
      <c r="V103" s="53"/>
      <c r="W103" s="53" t="s">
        <v>237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A160"/>
  <sheetViews>
    <sheetView workbookViewId="0">
      <pane ySplit="5" topLeftCell="A6" activePane="bottomLeft" state="frozen"/>
      <selection pane="bottomLeft" activeCell="J6" sqref="J6"/>
    </sheetView>
  </sheetViews>
  <sheetFormatPr defaultRowHeight="15"/>
  <cols>
    <col min="1" max="1" width="8" bestFit="1" customWidth="1"/>
    <col min="2" max="2" width="32.28515625" bestFit="1" customWidth="1"/>
    <col min="3" max="3" width="9.7109375" bestFit="1" customWidth="1"/>
    <col min="4" max="4" width="11.28515625" bestFit="1" customWidth="1"/>
    <col min="5" max="5" width="14.42578125" bestFit="1" customWidth="1"/>
    <col min="6" max="6" width="17.5703125" bestFit="1" customWidth="1"/>
    <col min="7" max="7" width="32.42578125" bestFit="1" customWidth="1"/>
    <col min="8" max="8" width="6.5703125" bestFit="1" customWidth="1"/>
    <col min="9" max="9" width="12.140625" bestFit="1" customWidth="1"/>
    <col min="10" max="10" width="15.5703125" bestFit="1" customWidth="1"/>
    <col min="11" max="11" width="11.7109375" bestFit="1" customWidth="1"/>
    <col min="12" max="12" width="11.85546875" bestFit="1" customWidth="1"/>
    <col min="13" max="13" width="33.85546875" customWidth="1"/>
    <col min="14" max="14" width="13.7109375" bestFit="1" customWidth="1"/>
    <col min="15" max="15" width="9.85546875" bestFit="1" customWidth="1"/>
    <col min="16" max="16" width="15.42578125" bestFit="1" customWidth="1"/>
    <col min="17" max="17" width="4.42578125" bestFit="1" customWidth="1"/>
    <col min="19" max="19" width="8.5703125" bestFit="1" customWidth="1"/>
    <col min="20" max="20" width="7.7109375" bestFit="1" customWidth="1"/>
    <col min="21" max="21" width="12.7109375" bestFit="1" customWidth="1"/>
    <col min="22" max="22" width="11.7109375" bestFit="1" customWidth="1"/>
    <col min="23" max="23" width="8.42578125" bestFit="1" customWidth="1"/>
    <col min="24" max="24" width="9.7109375" bestFit="1" customWidth="1"/>
    <col min="25" max="25" width="12.85546875" customWidth="1"/>
    <col min="26" max="26" width="9.28515625" bestFit="1" customWidth="1"/>
    <col min="27" max="27" width="9.85546875" bestFit="1" customWidth="1"/>
    <col min="28" max="28" width="10.7109375" bestFit="1" customWidth="1"/>
    <col min="29" max="29" width="7.5703125" bestFit="1" customWidth="1"/>
    <col min="30" max="30" width="13.140625" bestFit="1" customWidth="1"/>
    <col min="31" max="31" width="9.28515625" bestFit="1" customWidth="1"/>
    <col min="32" max="32" width="10.5703125" bestFit="1" customWidth="1"/>
    <col min="33" max="33" width="53.5703125" customWidth="1"/>
  </cols>
  <sheetData>
    <row r="1" spans="1:34" s="28" customFormat="1">
      <c r="A1" s="53"/>
      <c r="B1" s="31" t="s">
        <v>254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</row>
    <row r="2" spans="1:34" s="28" customFormat="1">
      <c r="A2" s="53"/>
      <c r="B2" s="31" t="s">
        <v>255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1:34" s="28" customFormat="1">
      <c r="A3" s="53"/>
      <c r="B3" s="31" t="s">
        <v>59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</row>
    <row r="4" spans="1:34" s="28" customForma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</row>
    <row r="5" spans="1:34">
      <c r="A5" s="53"/>
      <c r="B5" s="53" t="s">
        <v>256</v>
      </c>
      <c r="C5" s="53" t="s">
        <v>257</v>
      </c>
      <c r="D5" s="53" t="s">
        <v>258</v>
      </c>
      <c r="E5" s="53" t="s">
        <v>259</v>
      </c>
      <c r="F5" s="53" t="s">
        <v>260</v>
      </c>
      <c r="G5" s="31" t="s">
        <v>4</v>
      </c>
      <c r="H5" s="53" t="s">
        <v>261</v>
      </c>
      <c r="I5" s="53" t="s">
        <v>262</v>
      </c>
      <c r="J5" s="53" t="s">
        <v>263</v>
      </c>
      <c r="K5" s="53" t="s">
        <v>264</v>
      </c>
      <c r="L5" s="53" t="s">
        <v>49</v>
      </c>
      <c r="M5" s="53" t="s">
        <v>63</v>
      </c>
      <c r="N5" s="53" t="s">
        <v>265</v>
      </c>
      <c r="O5" s="53" t="s">
        <v>266</v>
      </c>
      <c r="P5" s="53" t="s">
        <v>267</v>
      </c>
      <c r="Q5" s="53" t="s">
        <v>268</v>
      </c>
      <c r="R5" s="53" t="s">
        <v>269</v>
      </c>
      <c r="S5" s="53" t="s">
        <v>270</v>
      </c>
      <c r="T5" s="53" t="s">
        <v>271</v>
      </c>
      <c r="U5" s="53" t="s">
        <v>272</v>
      </c>
      <c r="V5" s="53" t="s">
        <v>273</v>
      </c>
      <c r="W5" s="53" t="s">
        <v>274</v>
      </c>
      <c r="X5" s="53" t="s">
        <v>275</v>
      </c>
      <c r="Y5" s="27" t="s">
        <v>276</v>
      </c>
      <c r="Z5" s="53" t="s">
        <v>277</v>
      </c>
      <c r="AA5" s="53" t="s">
        <v>278</v>
      </c>
      <c r="AB5" s="53" t="s">
        <v>279</v>
      </c>
      <c r="AC5" s="53" t="s">
        <v>280</v>
      </c>
      <c r="AD5" s="53" t="s">
        <v>281</v>
      </c>
      <c r="AE5" s="53" t="s">
        <v>282</v>
      </c>
      <c r="AF5" s="53" t="s">
        <v>283</v>
      </c>
      <c r="AG5" s="53" t="s">
        <v>125</v>
      </c>
      <c r="AH5" s="53"/>
    </row>
    <row r="6" spans="1:34">
      <c r="A6" s="53"/>
      <c r="B6" s="53" t="s">
        <v>77</v>
      </c>
      <c r="C6" s="53" t="s">
        <v>284</v>
      </c>
      <c r="D6" s="53" t="s">
        <v>285</v>
      </c>
      <c r="E6" s="53" t="s">
        <v>286</v>
      </c>
      <c r="F6" s="29">
        <v>42229</v>
      </c>
      <c r="G6" s="53" t="s">
        <v>287</v>
      </c>
      <c r="H6" s="53" t="s">
        <v>288</v>
      </c>
      <c r="I6" s="53" t="s">
        <v>289</v>
      </c>
      <c r="J6" s="53" t="s">
        <v>290</v>
      </c>
      <c r="K6" s="53" t="s">
        <v>291</v>
      </c>
      <c r="L6" s="53" t="str">
        <f>VLOOKUP(VLOOKUP(B6,'WaterHeater Technology'!$A$8:$S$103,18,FALSE),'CostModel Coef'!$B$8:$T$11,19,FALSE)</f>
        <v>Instant_EF</v>
      </c>
      <c r="M6" s="53" t="str">
        <f>+B6</f>
        <v>Inst_EF-Gas-150kBtuh-0p82EF</v>
      </c>
      <c r="N6" s="53" t="s">
        <v>292</v>
      </c>
      <c r="O6" s="53" t="s">
        <v>293</v>
      </c>
      <c r="P6" s="53" t="s">
        <v>294</v>
      </c>
      <c r="Q6" s="53" t="s">
        <v>293</v>
      </c>
      <c r="R6" s="53" t="s">
        <v>293</v>
      </c>
      <c r="S6" s="53" t="s">
        <v>293</v>
      </c>
      <c r="T6" s="53" t="s">
        <v>293</v>
      </c>
      <c r="U6" s="53" t="s">
        <v>293</v>
      </c>
      <c r="V6" s="53" t="s">
        <v>295</v>
      </c>
      <c r="W6" s="53"/>
      <c r="X6" s="53"/>
      <c r="Y6" s="4">
        <f>ROUND(VLOOKUP(B6,'WaterHeater Technology'!$A$8:$AF$196,21,FALSE),0)</f>
        <v>801</v>
      </c>
      <c r="Z6" s="53"/>
      <c r="AA6" s="53"/>
      <c r="AB6" s="53"/>
      <c r="AC6" s="53" t="s">
        <v>296</v>
      </c>
      <c r="AD6" s="53" t="s">
        <v>297</v>
      </c>
      <c r="AE6" s="88" t="s">
        <v>298</v>
      </c>
      <c r="AF6" s="53"/>
      <c r="AG6" s="53" t="str">
        <f>"material costs only, includes contractor markup of "&amp;TEXT(INDEX('CostModel Coef'!$S$8:$S$11,VLOOKUP(B6,'WaterHeater Technology'!$A$8:$S$103,19,FALSE)),"00%")</f>
        <v>material costs only, includes contractor markup of 25%</v>
      </c>
      <c r="AH6" s="53"/>
    </row>
    <row r="7" spans="1:34">
      <c r="A7" s="53"/>
      <c r="B7" s="53" t="s">
        <v>81</v>
      </c>
      <c r="C7" s="53" t="s">
        <v>284</v>
      </c>
      <c r="D7" s="53" t="s">
        <v>285</v>
      </c>
      <c r="E7" s="53" t="s">
        <v>286</v>
      </c>
      <c r="F7" s="29">
        <v>42229</v>
      </c>
      <c r="G7" s="53" t="s">
        <v>287</v>
      </c>
      <c r="H7" s="53" t="s">
        <v>288</v>
      </c>
      <c r="I7" s="53" t="s">
        <v>289</v>
      </c>
      <c r="J7" s="53" t="s">
        <v>290</v>
      </c>
      <c r="K7" s="53" t="s">
        <v>291</v>
      </c>
      <c r="L7" s="53" t="str">
        <f>VLOOKUP(VLOOKUP(B7,'WaterHeater Technology'!$A$8:$S$103,18,FALSE),'CostModel Coef'!$B$8:$T$11,19,FALSE)</f>
        <v>Instant_EF</v>
      </c>
      <c r="M7" s="53" t="str">
        <f t="shared" ref="M7:M50" si="0">+B7</f>
        <v>Inst_EF-Gas-150kBtuh-0p84EF</v>
      </c>
      <c r="N7" s="53" t="s">
        <v>292</v>
      </c>
      <c r="O7" s="53" t="s">
        <v>293</v>
      </c>
      <c r="P7" s="53" t="s">
        <v>294</v>
      </c>
      <c r="Q7" s="53" t="s">
        <v>293</v>
      </c>
      <c r="R7" s="53" t="s">
        <v>293</v>
      </c>
      <c r="S7" s="53" t="s">
        <v>293</v>
      </c>
      <c r="T7" s="53" t="s">
        <v>293</v>
      </c>
      <c r="U7" s="53" t="s">
        <v>293</v>
      </c>
      <c r="V7" s="53" t="s">
        <v>295</v>
      </c>
      <c r="W7" s="53"/>
      <c r="X7" s="53"/>
      <c r="Y7" s="4">
        <f>ROUND(VLOOKUP(B7,'WaterHeater Technology'!$A$8:$AF$196,21,FALSE),0)</f>
        <v>836</v>
      </c>
      <c r="Z7" s="53"/>
      <c r="AA7" s="53"/>
      <c r="AB7" s="53"/>
      <c r="AC7" s="53" t="s">
        <v>296</v>
      </c>
      <c r="AD7" s="53" t="s">
        <v>297</v>
      </c>
      <c r="AE7" s="88" t="s">
        <v>298</v>
      </c>
      <c r="AF7" s="53"/>
      <c r="AG7" s="53" t="str">
        <f>"material costs only, includes contractor markup of "&amp;TEXT(INDEX('CostModel Coef'!$S$8:$S$11,VLOOKUP(B7,'WaterHeater Technology'!$A$8:$S$103,19,FALSE)),"00%")</f>
        <v>material costs only, includes contractor markup of 25%</v>
      </c>
      <c r="AH7" s="53"/>
    </row>
    <row r="8" spans="1:34">
      <c r="A8" s="53"/>
      <c r="B8" s="53" t="s">
        <v>83</v>
      </c>
      <c r="C8" s="53" t="s">
        <v>284</v>
      </c>
      <c r="D8" s="53" t="s">
        <v>285</v>
      </c>
      <c r="E8" s="53" t="s">
        <v>286</v>
      </c>
      <c r="F8" s="29">
        <v>42229</v>
      </c>
      <c r="G8" s="53" t="s">
        <v>287</v>
      </c>
      <c r="H8" s="53" t="s">
        <v>288</v>
      </c>
      <c r="I8" s="53" t="s">
        <v>289</v>
      </c>
      <c r="J8" s="53" t="s">
        <v>290</v>
      </c>
      <c r="K8" s="53" t="s">
        <v>291</v>
      </c>
      <c r="L8" s="53" t="str">
        <f>VLOOKUP(VLOOKUP(B8,'WaterHeater Technology'!$A$8:$S$103,18,FALSE),'CostModel Coef'!$B$8:$T$11,19,FALSE)</f>
        <v>Instant_EF</v>
      </c>
      <c r="M8" s="53" t="str">
        <f t="shared" si="0"/>
        <v>Inst_EF-Gas-150kBtuh-0p92EF</v>
      </c>
      <c r="N8" s="53" t="s">
        <v>292</v>
      </c>
      <c r="O8" s="53" t="s">
        <v>293</v>
      </c>
      <c r="P8" s="53" t="s">
        <v>294</v>
      </c>
      <c r="Q8" s="53" t="s">
        <v>293</v>
      </c>
      <c r="R8" s="53" t="s">
        <v>293</v>
      </c>
      <c r="S8" s="53" t="s">
        <v>293</v>
      </c>
      <c r="T8" s="53" t="s">
        <v>293</v>
      </c>
      <c r="U8" s="53" t="s">
        <v>293</v>
      </c>
      <c r="V8" s="53" t="s">
        <v>295</v>
      </c>
      <c r="W8" s="53"/>
      <c r="X8" s="53"/>
      <c r="Y8" s="4">
        <f>ROUND(VLOOKUP(B8,'WaterHeater Technology'!$A$8:$AF$196,21,FALSE),0)</f>
        <v>976</v>
      </c>
      <c r="Z8" s="53"/>
      <c r="AA8" s="53"/>
      <c r="AB8" s="53"/>
      <c r="AC8" s="53" t="s">
        <v>296</v>
      </c>
      <c r="AD8" s="53" t="s">
        <v>297</v>
      </c>
      <c r="AE8" s="88" t="s">
        <v>298</v>
      </c>
      <c r="AF8" s="53"/>
      <c r="AG8" s="53" t="str">
        <f>"material costs only, includes contractor markup of "&amp;TEXT(INDEX('CostModel Coef'!$S$8:$S$11,VLOOKUP(B8,'WaterHeater Technology'!$A$8:$S$103,19,FALSE)),"00%")</f>
        <v>material costs only, includes contractor markup of 25%</v>
      </c>
      <c r="AH8" s="53"/>
    </row>
    <row r="9" spans="1:34">
      <c r="A9" s="53"/>
      <c r="B9" s="53" t="s">
        <v>131</v>
      </c>
      <c r="C9" s="53" t="s">
        <v>284</v>
      </c>
      <c r="D9" s="53" t="s">
        <v>285</v>
      </c>
      <c r="E9" s="53" t="s">
        <v>286</v>
      </c>
      <c r="F9" s="29">
        <v>42229</v>
      </c>
      <c r="G9" s="53" t="s">
        <v>287</v>
      </c>
      <c r="H9" s="53" t="s">
        <v>288</v>
      </c>
      <c r="I9" s="53" t="s">
        <v>289</v>
      </c>
      <c r="J9" s="53" t="s">
        <v>290</v>
      </c>
      <c r="K9" s="53" t="s">
        <v>291</v>
      </c>
      <c r="L9" s="53" t="str">
        <f>VLOOKUP(VLOOKUP(B9,'WaterHeater Technology'!$A$8:$S$103,18,FALSE),'CostModel Coef'!$B$8:$T$11,19,FALSE)</f>
        <v>Stor_EF</v>
      </c>
      <c r="M9" s="53" t="str">
        <f t="shared" si="0"/>
        <v>Stor_EF-Elec-030gal-0.93EF</v>
      </c>
      <c r="N9" s="53" t="s">
        <v>292</v>
      </c>
      <c r="O9" s="53" t="s">
        <v>293</v>
      </c>
      <c r="P9" s="53" t="s">
        <v>294</v>
      </c>
      <c r="Q9" s="53" t="s">
        <v>293</v>
      </c>
      <c r="R9" s="53" t="s">
        <v>293</v>
      </c>
      <c r="S9" s="53" t="s">
        <v>293</v>
      </c>
      <c r="T9" s="53" t="s">
        <v>293</v>
      </c>
      <c r="U9" s="53" t="s">
        <v>293</v>
      </c>
      <c r="V9" s="53" t="s">
        <v>295</v>
      </c>
      <c r="W9" s="53"/>
      <c r="X9" s="53"/>
      <c r="Y9" s="4">
        <f>ROUND(VLOOKUP(B9,'WaterHeater Technology'!$A$8:$AF$196,21,FALSE),0)</f>
        <v>366</v>
      </c>
      <c r="Z9" s="53"/>
      <c r="AA9" s="53"/>
      <c r="AB9" s="53"/>
      <c r="AC9" s="53" t="s">
        <v>296</v>
      </c>
      <c r="AD9" s="53" t="s">
        <v>297</v>
      </c>
      <c r="AE9" s="88" t="s">
        <v>298</v>
      </c>
      <c r="AF9" s="53"/>
      <c r="AG9" s="53" t="str">
        <f>"material costs only, includes contractor markup of "&amp;TEXT(INDEX('CostModel Coef'!$S$8:$S$11,VLOOKUP(B9,'WaterHeater Technology'!$A$8:$S$103,19,FALSE)),"00%")</f>
        <v>material costs only, includes contractor markup of 15%</v>
      </c>
      <c r="AH9" s="53"/>
    </row>
    <row r="10" spans="1:34">
      <c r="A10" s="53"/>
      <c r="B10" s="53" t="s">
        <v>133</v>
      </c>
      <c r="C10" s="53" t="s">
        <v>284</v>
      </c>
      <c r="D10" s="53" t="s">
        <v>285</v>
      </c>
      <c r="E10" s="53" t="s">
        <v>286</v>
      </c>
      <c r="F10" s="29">
        <v>42229</v>
      </c>
      <c r="G10" s="53" t="s">
        <v>287</v>
      </c>
      <c r="H10" s="53" t="s">
        <v>288</v>
      </c>
      <c r="I10" s="53" t="s">
        <v>289</v>
      </c>
      <c r="J10" s="53" t="s">
        <v>290</v>
      </c>
      <c r="K10" s="53" t="s">
        <v>291</v>
      </c>
      <c r="L10" s="53" t="str">
        <f>VLOOKUP(VLOOKUP(B10,'WaterHeater Technology'!$A$8:$S$103,18,FALSE),'CostModel Coef'!$B$8:$T$11,19,FALSE)</f>
        <v>Stor_EF</v>
      </c>
      <c r="M10" s="53" t="str">
        <f t="shared" si="0"/>
        <v>Stor_EF-Elec-030gal-0.951EF</v>
      </c>
      <c r="N10" s="53" t="s">
        <v>292</v>
      </c>
      <c r="O10" s="53" t="s">
        <v>293</v>
      </c>
      <c r="P10" s="53" t="s">
        <v>294</v>
      </c>
      <c r="Q10" s="53" t="s">
        <v>293</v>
      </c>
      <c r="R10" s="53" t="s">
        <v>293</v>
      </c>
      <c r="S10" s="53" t="s">
        <v>293</v>
      </c>
      <c r="T10" s="53" t="s">
        <v>293</v>
      </c>
      <c r="U10" s="53" t="s">
        <v>293</v>
      </c>
      <c r="V10" s="53" t="s">
        <v>295</v>
      </c>
      <c r="W10" s="53"/>
      <c r="X10" s="53"/>
      <c r="Y10" s="4">
        <f>ROUND(VLOOKUP(B10,'WaterHeater Technology'!$A$8:$AF$196,21,FALSE),0)</f>
        <v>577</v>
      </c>
      <c r="Z10" s="53"/>
      <c r="AA10" s="53"/>
      <c r="AB10" s="53"/>
      <c r="AC10" s="53" t="s">
        <v>296</v>
      </c>
      <c r="AD10" s="53" t="s">
        <v>297</v>
      </c>
      <c r="AE10" s="88" t="s">
        <v>298</v>
      </c>
      <c r="AF10" s="53"/>
      <c r="AG10" s="53" t="str">
        <f>"material costs only, includes contractor markup of "&amp;TEXT(INDEX('CostModel Coef'!$S$8:$S$11,VLOOKUP(B10,'WaterHeater Technology'!$A$8:$S$103,19,FALSE)),"00%")</f>
        <v>material costs only, includes contractor markup of 15%</v>
      </c>
      <c r="AH10" s="53"/>
    </row>
    <row r="11" spans="1:34">
      <c r="A11" s="53"/>
      <c r="B11" s="53" t="s">
        <v>135</v>
      </c>
      <c r="C11" s="53" t="s">
        <v>284</v>
      </c>
      <c r="D11" s="53" t="s">
        <v>285</v>
      </c>
      <c r="E11" s="53" t="s">
        <v>286</v>
      </c>
      <c r="F11" s="29">
        <v>42229</v>
      </c>
      <c r="G11" s="53" t="s">
        <v>287</v>
      </c>
      <c r="H11" s="53" t="s">
        <v>288</v>
      </c>
      <c r="I11" s="53" t="s">
        <v>289</v>
      </c>
      <c r="J11" s="53" t="s">
        <v>290</v>
      </c>
      <c r="K11" s="53" t="s">
        <v>291</v>
      </c>
      <c r="L11" s="53" t="str">
        <f>VLOOKUP(VLOOKUP(B11,'WaterHeater Technology'!$A$8:$S$103,18,FALSE),'CostModel Coef'!$B$8:$T$11,19,FALSE)</f>
        <v>Stor_EF</v>
      </c>
      <c r="M11" s="53" t="str">
        <f t="shared" si="0"/>
        <v>Stor_EF-Elec-030gal-0.95EF</v>
      </c>
      <c r="N11" s="53" t="s">
        <v>292</v>
      </c>
      <c r="O11" s="53" t="s">
        <v>293</v>
      </c>
      <c r="P11" s="53" t="s">
        <v>294</v>
      </c>
      <c r="Q11" s="53" t="s">
        <v>293</v>
      </c>
      <c r="R11" s="53" t="s">
        <v>293</v>
      </c>
      <c r="S11" s="53" t="s">
        <v>293</v>
      </c>
      <c r="T11" s="53" t="s">
        <v>293</v>
      </c>
      <c r="U11" s="53" t="s">
        <v>293</v>
      </c>
      <c r="V11" s="53" t="s">
        <v>295</v>
      </c>
      <c r="W11" s="53"/>
      <c r="X11" s="53"/>
      <c r="Y11" s="4">
        <f>ROUND(VLOOKUP(B11,'WaterHeater Technology'!$A$8:$AF$196,21,FALSE),0)</f>
        <v>567</v>
      </c>
      <c r="Z11" s="53"/>
      <c r="AA11" s="53"/>
      <c r="AB11" s="53"/>
      <c r="AC11" s="53" t="s">
        <v>296</v>
      </c>
      <c r="AD11" s="53" t="s">
        <v>297</v>
      </c>
      <c r="AE11" s="88" t="s">
        <v>298</v>
      </c>
      <c r="AF11" s="53"/>
      <c r="AG11" s="53" t="str">
        <f>"material costs only, includes contractor markup of "&amp;TEXT(INDEX('CostModel Coef'!$S$8:$S$11,VLOOKUP(B11,'WaterHeater Technology'!$A$8:$S$103,19,FALSE)),"00%")</f>
        <v>material costs only, includes contractor markup of 15%</v>
      </c>
      <c r="AH11" s="53"/>
    </row>
    <row r="12" spans="1:34">
      <c r="A12" s="53"/>
      <c r="B12" s="53" t="s">
        <v>139</v>
      </c>
      <c r="C12" s="53" t="s">
        <v>284</v>
      </c>
      <c r="D12" s="53" t="s">
        <v>285</v>
      </c>
      <c r="E12" s="53" t="s">
        <v>286</v>
      </c>
      <c r="F12" s="29">
        <v>42229</v>
      </c>
      <c r="G12" s="53" t="s">
        <v>287</v>
      </c>
      <c r="H12" s="53" t="s">
        <v>288</v>
      </c>
      <c r="I12" s="53" t="s">
        <v>289</v>
      </c>
      <c r="J12" s="53" t="s">
        <v>290</v>
      </c>
      <c r="K12" s="53" t="s">
        <v>291</v>
      </c>
      <c r="L12" s="53" t="str">
        <f>VLOOKUP(VLOOKUP(B12,'WaterHeater Technology'!$A$8:$S$103,18,FALSE),'CostModel Coef'!$B$8:$T$11,19,FALSE)</f>
        <v>Stor_EF</v>
      </c>
      <c r="M12" s="53" t="str">
        <f t="shared" si="0"/>
        <v>Stor_EF-Elec-040gal-0.92EF</v>
      </c>
      <c r="N12" s="53" t="s">
        <v>292</v>
      </c>
      <c r="O12" s="53" t="s">
        <v>293</v>
      </c>
      <c r="P12" s="53" t="s">
        <v>294</v>
      </c>
      <c r="Q12" s="53" t="s">
        <v>293</v>
      </c>
      <c r="R12" s="53" t="s">
        <v>293</v>
      </c>
      <c r="S12" s="53" t="s">
        <v>293</v>
      </c>
      <c r="T12" s="53" t="s">
        <v>293</v>
      </c>
      <c r="U12" s="53" t="s">
        <v>293</v>
      </c>
      <c r="V12" s="53" t="s">
        <v>295</v>
      </c>
      <c r="W12" s="53"/>
      <c r="X12" s="53"/>
      <c r="Y12" s="4">
        <f>ROUND(VLOOKUP(B12,'WaterHeater Technology'!$A$8:$AF$196,21,FALSE),0)</f>
        <v>392</v>
      </c>
      <c r="Z12" s="53"/>
      <c r="AA12" s="53"/>
      <c r="AB12" s="53"/>
      <c r="AC12" s="53" t="s">
        <v>296</v>
      </c>
      <c r="AD12" s="53" t="s">
        <v>297</v>
      </c>
      <c r="AE12" s="88" t="s">
        <v>298</v>
      </c>
      <c r="AF12" s="53"/>
      <c r="AG12" s="53" t="str">
        <f>"material costs only, includes contractor markup of "&amp;TEXT(INDEX('CostModel Coef'!$S$8:$S$11,VLOOKUP(B12,'WaterHeater Technology'!$A$8:$S$103,19,FALSE)),"00%")</f>
        <v>material costs only, includes contractor markup of 15%</v>
      </c>
      <c r="AH12" s="53"/>
    </row>
    <row r="13" spans="1:34">
      <c r="A13" s="53"/>
      <c r="B13" s="53" t="s">
        <v>141</v>
      </c>
      <c r="C13" s="53" t="s">
        <v>284</v>
      </c>
      <c r="D13" s="53" t="s">
        <v>285</v>
      </c>
      <c r="E13" s="53" t="s">
        <v>286</v>
      </c>
      <c r="F13" s="29">
        <v>42229</v>
      </c>
      <c r="G13" s="53" t="s">
        <v>287</v>
      </c>
      <c r="H13" s="53" t="s">
        <v>288</v>
      </c>
      <c r="I13" s="53" t="s">
        <v>289</v>
      </c>
      <c r="J13" s="53" t="s">
        <v>290</v>
      </c>
      <c r="K13" s="53" t="s">
        <v>291</v>
      </c>
      <c r="L13" s="53" t="str">
        <f>VLOOKUP(VLOOKUP(B13,'WaterHeater Technology'!$A$8:$S$103,18,FALSE),'CostModel Coef'!$B$8:$T$11,19,FALSE)</f>
        <v>Stor_EF</v>
      </c>
      <c r="M13" s="53" t="str">
        <f t="shared" si="0"/>
        <v>Stor_EF-Elec-040gal-0.948EF</v>
      </c>
      <c r="N13" s="53" t="s">
        <v>292</v>
      </c>
      <c r="O13" s="53" t="s">
        <v>293</v>
      </c>
      <c r="P13" s="53" t="s">
        <v>294</v>
      </c>
      <c r="Q13" s="53" t="s">
        <v>293</v>
      </c>
      <c r="R13" s="53" t="s">
        <v>293</v>
      </c>
      <c r="S13" s="53" t="s">
        <v>293</v>
      </c>
      <c r="T13" s="53" t="s">
        <v>293</v>
      </c>
      <c r="U13" s="53" t="s">
        <v>293</v>
      </c>
      <c r="V13" s="53" t="s">
        <v>295</v>
      </c>
      <c r="W13" s="53"/>
      <c r="X13" s="53"/>
      <c r="Y13" s="4">
        <f>ROUND(VLOOKUP(B13,'WaterHeater Technology'!$A$8:$AF$196,21,FALSE),0)</f>
        <v>708</v>
      </c>
      <c r="Z13" s="53"/>
      <c r="AA13" s="53"/>
      <c r="AB13" s="53"/>
      <c r="AC13" s="53" t="s">
        <v>296</v>
      </c>
      <c r="AD13" s="53" t="s">
        <v>297</v>
      </c>
      <c r="AE13" s="88" t="s">
        <v>298</v>
      </c>
      <c r="AF13" s="53"/>
      <c r="AG13" s="53" t="str">
        <f>"material costs only, includes contractor markup of "&amp;TEXT(INDEX('CostModel Coef'!$S$8:$S$11,VLOOKUP(B13,'WaterHeater Technology'!$A$8:$S$103,19,FALSE)),"00%")</f>
        <v>material costs only, includes contractor markup of 15%</v>
      </c>
      <c r="AH13" s="53"/>
    </row>
    <row r="14" spans="1:34">
      <c r="A14" s="53"/>
      <c r="B14" s="53" t="s">
        <v>143</v>
      </c>
      <c r="C14" s="53" t="s">
        <v>284</v>
      </c>
      <c r="D14" s="53" t="s">
        <v>285</v>
      </c>
      <c r="E14" s="53" t="s">
        <v>286</v>
      </c>
      <c r="F14" s="29">
        <v>42229</v>
      </c>
      <c r="G14" s="53" t="s">
        <v>287</v>
      </c>
      <c r="H14" s="53" t="s">
        <v>288</v>
      </c>
      <c r="I14" s="53" t="s">
        <v>289</v>
      </c>
      <c r="J14" s="53" t="s">
        <v>290</v>
      </c>
      <c r="K14" s="53" t="s">
        <v>291</v>
      </c>
      <c r="L14" s="53" t="str">
        <f>VLOOKUP(VLOOKUP(B14,'WaterHeater Technology'!$A$8:$S$103,18,FALSE),'CostModel Coef'!$B$8:$T$11,19,FALSE)</f>
        <v>Stor_EF</v>
      </c>
      <c r="M14" s="53" t="str">
        <f t="shared" si="0"/>
        <v>Stor_EF-Elec-040gal-0.94EF</v>
      </c>
      <c r="N14" s="53" t="s">
        <v>292</v>
      </c>
      <c r="O14" s="53" t="s">
        <v>293</v>
      </c>
      <c r="P14" s="53" t="s">
        <v>294</v>
      </c>
      <c r="Q14" s="53" t="s">
        <v>293</v>
      </c>
      <c r="R14" s="53" t="s">
        <v>293</v>
      </c>
      <c r="S14" s="53" t="s">
        <v>293</v>
      </c>
      <c r="T14" s="53" t="s">
        <v>293</v>
      </c>
      <c r="U14" s="53" t="s">
        <v>293</v>
      </c>
      <c r="V14" s="53" t="s">
        <v>295</v>
      </c>
      <c r="W14" s="53"/>
      <c r="X14" s="53"/>
      <c r="Y14" s="4">
        <f>ROUND(VLOOKUP(B14,'WaterHeater Technology'!$A$8:$AF$196,21,FALSE),0)</f>
        <v>626</v>
      </c>
      <c r="Z14" s="53"/>
      <c r="AA14" s="53"/>
      <c r="AB14" s="53"/>
      <c r="AC14" s="53" t="s">
        <v>296</v>
      </c>
      <c r="AD14" s="53" t="s">
        <v>297</v>
      </c>
      <c r="AE14" s="88" t="s">
        <v>298</v>
      </c>
      <c r="AF14" s="53"/>
      <c r="AG14" s="53" t="str">
        <f>"material costs only, includes contractor markup of "&amp;TEXT(INDEX('CostModel Coef'!$S$8:$S$11,VLOOKUP(B14,'WaterHeater Technology'!$A$8:$S$103,19,FALSE)),"00%")</f>
        <v>material costs only, includes contractor markup of 15%</v>
      </c>
      <c r="AH14" s="53"/>
    </row>
    <row r="15" spans="1:34">
      <c r="A15" s="53"/>
      <c r="B15" s="53" t="s">
        <v>147</v>
      </c>
      <c r="C15" s="53" t="s">
        <v>284</v>
      </c>
      <c r="D15" s="53" t="s">
        <v>285</v>
      </c>
      <c r="E15" s="53" t="s">
        <v>286</v>
      </c>
      <c r="F15" s="29">
        <v>42229</v>
      </c>
      <c r="G15" s="53" t="s">
        <v>287</v>
      </c>
      <c r="H15" s="53" t="s">
        <v>288</v>
      </c>
      <c r="I15" s="53" t="s">
        <v>289</v>
      </c>
      <c r="J15" s="53" t="s">
        <v>290</v>
      </c>
      <c r="K15" s="53" t="s">
        <v>291</v>
      </c>
      <c r="L15" s="53" t="str">
        <f>VLOOKUP(VLOOKUP(B15,'WaterHeater Technology'!$A$8:$S$103,18,FALSE),'CostModel Coef'!$B$8:$T$11,19,FALSE)</f>
        <v>Stor_EF</v>
      </c>
      <c r="M15" s="53" t="str">
        <f t="shared" si="0"/>
        <v>Stor_EF-Elec-050gal-0.90EF</v>
      </c>
      <c r="N15" s="53" t="s">
        <v>292</v>
      </c>
      <c r="O15" s="53" t="s">
        <v>293</v>
      </c>
      <c r="P15" s="53" t="s">
        <v>294</v>
      </c>
      <c r="Q15" s="53" t="s">
        <v>293</v>
      </c>
      <c r="R15" s="53" t="s">
        <v>293</v>
      </c>
      <c r="S15" s="53" t="s">
        <v>293</v>
      </c>
      <c r="T15" s="53" t="s">
        <v>293</v>
      </c>
      <c r="U15" s="53" t="s">
        <v>293</v>
      </c>
      <c r="V15" s="53" t="s">
        <v>295</v>
      </c>
      <c r="W15" s="53"/>
      <c r="X15" s="53"/>
      <c r="Y15" s="4">
        <f>ROUND(VLOOKUP(B15,'WaterHeater Technology'!$A$8:$AF$196,21,FALSE),0)</f>
        <v>419</v>
      </c>
      <c r="Z15" s="53"/>
      <c r="AA15" s="53"/>
      <c r="AB15" s="53"/>
      <c r="AC15" s="53" t="s">
        <v>296</v>
      </c>
      <c r="AD15" s="53" t="s">
        <v>297</v>
      </c>
      <c r="AE15" s="88" t="s">
        <v>298</v>
      </c>
      <c r="AF15" s="53"/>
      <c r="AG15" s="53" t="str">
        <f>"material costs only, includes contractor markup of "&amp;TEXT(INDEX('CostModel Coef'!$S$8:$S$11,VLOOKUP(B15,'WaterHeater Technology'!$A$8:$S$103,19,FALSE)),"00%")</f>
        <v>material costs only, includes contractor markup of 15%</v>
      </c>
      <c r="AH15" s="53"/>
    </row>
    <row r="16" spans="1:34">
      <c r="A16" s="53"/>
      <c r="B16" s="53" t="s">
        <v>149</v>
      </c>
      <c r="C16" s="53" t="s">
        <v>284</v>
      </c>
      <c r="D16" s="53" t="s">
        <v>285</v>
      </c>
      <c r="E16" s="53" t="s">
        <v>286</v>
      </c>
      <c r="F16" s="29">
        <v>42229</v>
      </c>
      <c r="G16" s="53" t="s">
        <v>287</v>
      </c>
      <c r="H16" s="53" t="s">
        <v>288</v>
      </c>
      <c r="I16" s="53" t="s">
        <v>289</v>
      </c>
      <c r="J16" s="53" t="s">
        <v>290</v>
      </c>
      <c r="K16" s="53" t="s">
        <v>291</v>
      </c>
      <c r="L16" s="53" t="str">
        <f>VLOOKUP(VLOOKUP(B16,'WaterHeater Technology'!$A$8:$S$103,18,FALSE),'CostModel Coef'!$B$8:$T$11,19,FALSE)</f>
        <v>Stor_EF</v>
      </c>
      <c r="M16" s="53" t="str">
        <f t="shared" si="0"/>
        <v>Stor_EF-Elec-050gal-0.93EF</v>
      </c>
      <c r="N16" s="53" t="s">
        <v>292</v>
      </c>
      <c r="O16" s="53" t="s">
        <v>293</v>
      </c>
      <c r="P16" s="53" t="s">
        <v>294</v>
      </c>
      <c r="Q16" s="53" t="s">
        <v>293</v>
      </c>
      <c r="R16" s="53" t="s">
        <v>293</v>
      </c>
      <c r="S16" s="53" t="s">
        <v>293</v>
      </c>
      <c r="T16" s="53" t="s">
        <v>293</v>
      </c>
      <c r="U16" s="53" t="s">
        <v>293</v>
      </c>
      <c r="V16" s="53" t="s">
        <v>295</v>
      </c>
      <c r="W16" s="53"/>
      <c r="X16" s="53"/>
      <c r="Y16" s="4">
        <f>ROUND(VLOOKUP(B16,'WaterHeater Technology'!$A$8:$AF$196,21,FALSE),0)</f>
        <v>685</v>
      </c>
      <c r="Z16" s="53"/>
      <c r="AA16" s="53"/>
      <c r="AB16" s="53"/>
      <c r="AC16" s="53" t="s">
        <v>296</v>
      </c>
      <c r="AD16" s="53" t="s">
        <v>297</v>
      </c>
      <c r="AE16" s="88" t="s">
        <v>298</v>
      </c>
      <c r="AF16" s="53"/>
      <c r="AG16" s="53" t="str">
        <f>"material costs only, includes contractor markup of "&amp;TEXT(INDEX('CostModel Coef'!$S$8:$S$11,VLOOKUP(B16,'WaterHeater Technology'!$A$8:$S$103,19,FALSE)),"00%")</f>
        <v>material costs only, includes contractor markup of 15%</v>
      </c>
      <c r="AH16" s="53"/>
    </row>
    <row r="17" spans="2:33">
      <c r="B17" s="53" t="s">
        <v>151</v>
      </c>
      <c r="C17" s="53" t="s">
        <v>284</v>
      </c>
      <c r="D17" s="53" t="s">
        <v>285</v>
      </c>
      <c r="E17" s="53" t="s">
        <v>286</v>
      </c>
      <c r="F17" s="29">
        <v>42229</v>
      </c>
      <c r="G17" s="53" t="s">
        <v>287</v>
      </c>
      <c r="H17" s="53" t="s">
        <v>288</v>
      </c>
      <c r="I17" s="53" t="s">
        <v>289</v>
      </c>
      <c r="J17" s="53" t="s">
        <v>290</v>
      </c>
      <c r="K17" s="53" t="s">
        <v>291</v>
      </c>
      <c r="L17" s="53" t="str">
        <f>VLOOKUP(VLOOKUP(B17,'WaterHeater Technology'!$A$8:$S$103,18,FALSE),'CostModel Coef'!$B$8:$T$11,19,FALSE)</f>
        <v>Stor_EF</v>
      </c>
      <c r="M17" s="53" t="str">
        <f t="shared" si="0"/>
        <v>Stor_EF-Elec-050gal-0.945EF</v>
      </c>
      <c r="N17" s="53" t="s">
        <v>292</v>
      </c>
      <c r="O17" s="53" t="s">
        <v>293</v>
      </c>
      <c r="P17" s="53" t="s">
        <v>294</v>
      </c>
      <c r="Q17" s="53" t="s">
        <v>293</v>
      </c>
      <c r="R17" s="53" t="s">
        <v>293</v>
      </c>
      <c r="S17" s="53" t="s">
        <v>293</v>
      </c>
      <c r="T17" s="53" t="s">
        <v>293</v>
      </c>
      <c r="U17" s="53" t="s">
        <v>293</v>
      </c>
      <c r="V17" s="53" t="s">
        <v>295</v>
      </c>
      <c r="W17" s="53"/>
      <c r="X17" s="53"/>
      <c r="Y17" s="4">
        <f>ROUND(VLOOKUP(B17,'WaterHeater Technology'!$A$8:$AF$196,21,FALSE),0)</f>
        <v>839</v>
      </c>
      <c r="Z17" s="53"/>
      <c r="AA17" s="53"/>
      <c r="AB17" s="53"/>
      <c r="AC17" s="53" t="s">
        <v>296</v>
      </c>
      <c r="AD17" s="53" t="s">
        <v>297</v>
      </c>
      <c r="AE17" s="88" t="s">
        <v>298</v>
      </c>
      <c r="AF17" s="53"/>
      <c r="AG17" s="53" t="str">
        <f>"material costs only, includes contractor markup of "&amp;TEXT(INDEX('CostModel Coef'!$S$8:$S$11,VLOOKUP(B17,'WaterHeater Technology'!$A$8:$S$103,19,FALSE)),"00%")</f>
        <v>material costs only, includes contractor markup of 15%</v>
      </c>
    </row>
    <row r="18" spans="2:33">
      <c r="B18" s="53" t="s">
        <v>155</v>
      </c>
      <c r="C18" s="53" t="s">
        <v>284</v>
      </c>
      <c r="D18" s="53" t="s">
        <v>285</v>
      </c>
      <c r="E18" s="53" t="s">
        <v>286</v>
      </c>
      <c r="F18" s="29">
        <v>42229</v>
      </c>
      <c r="G18" s="53" t="s">
        <v>287</v>
      </c>
      <c r="H18" s="53" t="s">
        <v>288</v>
      </c>
      <c r="I18" s="53" t="s">
        <v>289</v>
      </c>
      <c r="J18" s="53" t="s">
        <v>290</v>
      </c>
      <c r="K18" s="53" t="s">
        <v>291</v>
      </c>
      <c r="L18" s="53" t="str">
        <f>VLOOKUP(VLOOKUP(B18,'WaterHeater Technology'!$A$8:$S$103,18,FALSE),'CostModel Coef'!$B$8:$T$11,19,FALSE)</f>
        <v>Stor_EF</v>
      </c>
      <c r="M18" s="53" t="str">
        <f t="shared" si="0"/>
        <v>Stor_EF-Elec-060gal-0.89EF</v>
      </c>
      <c r="N18" s="53" t="s">
        <v>292</v>
      </c>
      <c r="O18" s="53" t="s">
        <v>293</v>
      </c>
      <c r="P18" s="53" t="s">
        <v>294</v>
      </c>
      <c r="Q18" s="53" t="s">
        <v>293</v>
      </c>
      <c r="R18" s="53" t="s">
        <v>293</v>
      </c>
      <c r="S18" s="53" t="s">
        <v>293</v>
      </c>
      <c r="T18" s="53" t="s">
        <v>293</v>
      </c>
      <c r="U18" s="53" t="s">
        <v>293</v>
      </c>
      <c r="V18" s="53" t="s">
        <v>295</v>
      </c>
      <c r="W18" s="53"/>
      <c r="X18" s="53"/>
      <c r="Y18" s="4">
        <f>ROUND(VLOOKUP(B18,'WaterHeater Technology'!$A$8:$AF$196,21,FALSE),0)</f>
        <v>445</v>
      </c>
      <c r="Z18" s="53"/>
      <c r="AA18" s="53"/>
      <c r="AB18" s="53"/>
      <c r="AC18" s="53" t="s">
        <v>296</v>
      </c>
      <c r="AD18" s="53" t="s">
        <v>297</v>
      </c>
      <c r="AE18" s="88" t="s">
        <v>298</v>
      </c>
      <c r="AF18" s="53"/>
      <c r="AG18" s="53" t="str">
        <f>"material costs only, includes contractor markup of "&amp;TEXT(INDEX('CostModel Coef'!$S$8:$S$11,VLOOKUP(B18,'WaterHeater Technology'!$A$8:$S$103,19,FALSE)),"00%")</f>
        <v>material costs only, includes contractor markup of 15%</v>
      </c>
    </row>
    <row r="19" spans="2:33">
      <c r="B19" s="53" t="s">
        <v>157</v>
      </c>
      <c r="C19" s="53" t="s">
        <v>284</v>
      </c>
      <c r="D19" s="53" t="s">
        <v>285</v>
      </c>
      <c r="E19" s="53" t="s">
        <v>286</v>
      </c>
      <c r="F19" s="29">
        <v>42229</v>
      </c>
      <c r="G19" s="53" t="s">
        <v>287</v>
      </c>
      <c r="H19" s="53" t="s">
        <v>288</v>
      </c>
      <c r="I19" s="53" t="s">
        <v>289</v>
      </c>
      <c r="J19" s="53" t="s">
        <v>290</v>
      </c>
      <c r="K19" s="53" t="s">
        <v>291</v>
      </c>
      <c r="L19" s="53" t="str">
        <f>VLOOKUP(VLOOKUP(B19,'WaterHeater Technology'!$A$8:$S$103,18,FALSE),'CostModel Coef'!$B$8:$T$11,19,FALSE)</f>
        <v>Stor_EF</v>
      </c>
      <c r="M19" s="53" t="str">
        <f t="shared" si="0"/>
        <v>Stor_EF-Elec-060gal-0.92EF</v>
      </c>
      <c r="N19" s="53" t="s">
        <v>292</v>
      </c>
      <c r="O19" s="53" t="s">
        <v>293</v>
      </c>
      <c r="P19" s="53" t="s">
        <v>294</v>
      </c>
      <c r="Q19" s="53" t="s">
        <v>293</v>
      </c>
      <c r="R19" s="53" t="s">
        <v>293</v>
      </c>
      <c r="S19" s="53" t="s">
        <v>293</v>
      </c>
      <c r="T19" s="53" t="s">
        <v>293</v>
      </c>
      <c r="U19" s="53" t="s">
        <v>293</v>
      </c>
      <c r="V19" s="53" t="s">
        <v>295</v>
      </c>
      <c r="W19" s="53"/>
      <c r="X19" s="53"/>
      <c r="Y19" s="4">
        <f>ROUND(VLOOKUP(B19,'WaterHeater Technology'!$A$8:$AF$196,21,FALSE),0)</f>
        <v>745</v>
      </c>
      <c r="Z19" s="53"/>
      <c r="AA19" s="53"/>
      <c r="AB19" s="53"/>
      <c r="AC19" s="53" t="s">
        <v>296</v>
      </c>
      <c r="AD19" s="53" t="s">
        <v>297</v>
      </c>
      <c r="AE19" s="88" t="s">
        <v>298</v>
      </c>
      <c r="AF19" s="53"/>
      <c r="AG19" s="53" t="str">
        <f>"material costs only, includes contractor markup of "&amp;TEXT(INDEX('CostModel Coef'!$S$8:$S$11,VLOOKUP(B19,'WaterHeater Technology'!$A$8:$S$103,19,FALSE)),"00%")</f>
        <v>material costs only, includes contractor markup of 15%</v>
      </c>
    </row>
    <row r="20" spans="2:33">
      <c r="B20" s="53" t="s">
        <v>161</v>
      </c>
      <c r="C20" s="53" t="s">
        <v>284</v>
      </c>
      <c r="D20" s="53" t="s">
        <v>285</v>
      </c>
      <c r="E20" s="53" t="s">
        <v>286</v>
      </c>
      <c r="F20" s="29">
        <v>42229</v>
      </c>
      <c r="G20" s="53" t="s">
        <v>287</v>
      </c>
      <c r="H20" s="53" t="s">
        <v>288</v>
      </c>
      <c r="I20" s="53" t="s">
        <v>289</v>
      </c>
      <c r="J20" s="53" t="s">
        <v>290</v>
      </c>
      <c r="K20" s="53" t="s">
        <v>291</v>
      </c>
      <c r="L20" s="53" t="str">
        <f>VLOOKUP(VLOOKUP(B20,'WaterHeater Technology'!$A$8:$S$103,18,FALSE),'CostModel Coef'!$B$8:$T$11,19,FALSE)</f>
        <v>Stor_EF</v>
      </c>
      <c r="M20" s="53" t="str">
        <f t="shared" si="0"/>
        <v>Stor_EF-Elec-075gal-0.87EF</v>
      </c>
      <c r="N20" s="53" t="s">
        <v>292</v>
      </c>
      <c r="O20" s="53" t="s">
        <v>293</v>
      </c>
      <c r="P20" s="53" t="s">
        <v>294</v>
      </c>
      <c r="Q20" s="53" t="s">
        <v>293</v>
      </c>
      <c r="R20" s="53" t="s">
        <v>293</v>
      </c>
      <c r="S20" s="53" t="s">
        <v>293</v>
      </c>
      <c r="T20" s="53" t="s">
        <v>293</v>
      </c>
      <c r="U20" s="53" t="s">
        <v>293</v>
      </c>
      <c r="V20" s="53" t="s">
        <v>295</v>
      </c>
      <c r="W20" s="53"/>
      <c r="X20" s="53"/>
      <c r="Y20" s="4">
        <f>ROUND(VLOOKUP(B20,'WaterHeater Technology'!$A$8:$AF$196,21,FALSE),0)</f>
        <v>485</v>
      </c>
      <c r="Z20" s="53"/>
      <c r="AA20" s="53"/>
      <c r="AB20" s="53"/>
      <c r="AC20" s="53" t="s">
        <v>296</v>
      </c>
      <c r="AD20" s="53" t="s">
        <v>297</v>
      </c>
      <c r="AE20" s="88" t="s">
        <v>298</v>
      </c>
      <c r="AF20" s="53"/>
      <c r="AG20" s="53" t="str">
        <f>"material costs only, includes contractor markup of "&amp;TEXT(INDEX('CostModel Coef'!$S$8:$S$11,VLOOKUP(B20,'WaterHeater Technology'!$A$8:$S$103,19,FALSE)),"00%")</f>
        <v>material costs only, includes contractor markup of 15%</v>
      </c>
    </row>
    <row r="21" spans="2:33">
      <c r="B21" s="53" t="s">
        <v>163</v>
      </c>
      <c r="C21" s="53" t="s">
        <v>284</v>
      </c>
      <c r="D21" s="53" t="s">
        <v>285</v>
      </c>
      <c r="E21" s="53" t="s">
        <v>286</v>
      </c>
      <c r="F21" s="29">
        <v>42229</v>
      </c>
      <c r="G21" s="53" t="s">
        <v>287</v>
      </c>
      <c r="H21" s="53" t="s">
        <v>288</v>
      </c>
      <c r="I21" s="53" t="s">
        <v>289</v>
      </c>
      <c r="J21" s="53" t="s">
        <v>290</v>
      </c>
      <c r="K21" s="53" t="s">
        <v>291</v>
      </c>
      <c r="L21" s="53" t="str">
        <f>VLOOKUP(VLOOKUP(B21,'WaterHeater Technology'!$A$8:$S$103,18,FALSE),'CostModel Coef'!$B$8:$T$11,19,FALSE)</f>
        <v>Stor_EF</v>
      </c>
      <c r="M21" s="53" t="str">
        <f t="shared" si="0"/>
        <v>Stor_EF-Elec-075gal-0.91EF</v>
      </c>
      <c r="N21" s="53" t="s">
        <v>292</v>
      </c>
      <c r="O21" s="53" t="s">
        <v>293</v>
      </c>
      <c r="P21" s="53" t="s">
        <v>294</v>
      </c>
      <c r="Q21" s="53" t="s">
        <v>293</v>
      </c>
      <c r="R21" s="53" t="s">
        <v>293</v>
      </c>
      <c r="S21" s="53" t="s">
        <v>293</v>
      </c>
      <c r="T21" s="53" t="s">
        <v>293</v>
      </c>
      <c r="U21" s="53" t="s">
        <v>293</v>
      </c>
      <c r="V21" s="53" t="s">
        <v>295</v>
      </c>
      <c r="W21" s="53"/>
      <c r="X21" s="53"/>
      <c r="Y21" s="4">
        <f>ROUND(VLOOKUP(B21,'WaterHeater Technology'!$A$8:$AF$196,21,FALSE),0)</f>
        <v>885</v>
      </c>
      <c r="Z21" s="53"/>
      <c r="AA21" s="53"/>
      <c r="AB21" s="53"/>
      <c r="AC21" s="53" t="s">
        <v>296</v>
      </c>
      <c r="AD21" s="53" t="s">
        <v>297</v>
      </c>
      <c r="AE21" s="88" t="s">
        <v>298</v>
      </c>
      <c r="AF21" s="53"/>
      <c r="AG21" s="53" t="str">
        <f>"material costs only, includes contractor markup of "&amp;TEXT(INDEX('CostModel Coef'!$S$8:$S$11,VLOOKUP(B21,'WaterHeater Technology'!$A$8:$S$103,19,FALSE)),"00%")</f>
        <v>material costs only, includes contractor markup of 15%</v>
      </c>
    </row>
    <row r="22" spans="2:33">
      <c r="B22" s="53" t="s">
        <v>165</v>
      </c>
      <c r="C22" s="53" t="s">
        <v>284</v>
      </c>
      <c r="D22" s="53" t="s">
        <v>285</v>
      </c>
      <c r="E22" s="53" t="s">
        <v>286</v>
      </c>
      <c r="F22" s="29">
        <v>42229</v>
      </c>
      <c r="G22" s="53" t="s">
        <v>287</v>
      </c>
      <c r="H22" s="53" t="s">
        <v>288</v>
      </c>
      <c r="I22" s="53" t="s">
        <v>289</v>
      </c>
      <c r="J22" s="53" t="s">
        <v>290</v>
      </c>
      <c r="K22" s="53" t="s">
        <v>291</v>
      </c>
      <c r="L22" s="53" t="str">
        <f>VLOOKUP(VLOOKUP(B22,'WaterHeater Technology'!$A$8:$S$103,18,FALSE),'CostModel Coef'!$B$8:$T$11,19,FALSE)</f>
        <v>Stor_EF</v>
      </c>
      <c r="M22" s="53" t="str">
        <f t="shared" si="0"/>
        <v>Stor_EF-Gas-030gal-0.57EF</v>
      </c>
      <c r="N22" s="53" t="s">
        <v>292</v>
      </c>
      <c r="O22" s="53" t="s">
        <v>293</v>
      </c>
      <c r="P22" s="53" t="s">
        <v>294</v>
      </c>
      <c r="Q22" s="53" t="s">
        <v>293</v>
      </c>
      <c r="R22" s="53" t="s">
        <v>293</v>
      </c>
      <c r="S22" s="53" t="s">
        <v>293</v>
      </c>
      <c r="T22" s="53" t="s">
        <v>293</v>
      </c>
      <c r="U22" s="53" t="s">
        <v>293</v>
      </c>
      <c r="V22" s="53" t="s">
        <v>295</v>
      </c>
      <c r="W22" s="53"/>
      <c r="X22" s="53"/>
      <c r="Y22" s="4">
        <f>ROUND(VLOOKUP(B22,'WaterHeater Technology'!$A$8:$AF$196,21,FALSE),0)</f>
        <v>407</v>
      </c>
      <c r="Z22" s="53"/>
      <c r="AA22" s="53"/>
      <c r="AB22" s="53"/>
      <c r="AC22" s="53" t="s">
        <v>296</v>
      </c>
      <c r="AD22" s="53" t="s">
        <v>297</v>
      </c>
      <c r="AE22" s="88" t="s">
        <v>298</v>
      </c>
      <c r="AF22" s="53"/>
      <c r="AG22" s="53" t="str">
        <f>"material costs only, includes contractor markup of "&amp;TEXT(INDEX('CostModel Coef'!$S$8:$S$11,VLOOKUP(B22,'WaterHeater Technology'!$A$8:$S$103,19,FALSE)),"00%")</f>
        <v>material costs only, includes contractor markup of 15%</v>
      </c>
    </row>
    <row r="23" spans="2:33">
      <c r="B23" s="53" t="s">
        <v>167</v>
      </c>
      <c r="C23" s="53" t="s">
        <v>284</v>
      </c>
      <c r="D23" s="53" t="s">
        <v>285</v>
      </c>
      <c r="E23" s="53" t="s">
        <v>286</v>
      </c>
      <c r="F23" s="29">
        <v>42229</v>
      </c>
      <c r="G23" s="53" t="s">
        <v>287</v>
      </c>
      <c r="H23" s="53" t="s">
        <v>288</v>
      </c>
      <c r="I23" s="53" t="s">
        <v>289</v>
      </c>
      <c r="J23" s="53" t="s">
        <v>290</v>
      </c>
      <c r="K23" s="53" t="s">
        <v>291</v>
      </c>
      <c r="L23" s="53" t="str">
        <f>VLOOKUP(VLOOKUP(B23,'WaterHeater Technology'!$A$8:$S$103,18,FALSE),'CostModel Coef'!$B$8:$T$11,19,FALSE)</f>
        <v>Stor_EF</v>
      </c>
      <c r="M23" s="53" t="str">
        <f t="shared" si="0"/>
        <v>Stor_EF-Gas-030gal-0.58EF</v>
      </c>
      <c r="N23" s="53" t="s">
        <v>292</v>
      </c>
      <c r="O23" s="53" t="s">
        <v>293</v>
      </c>
      <c r="P23" s="53" t="s">
        <v>294</v>
      </c>
      <c r="Q23" s="53" t="s">
        <v>293</v>
      </c>
      <c r="R23" s="53" t="s">
        <v>293</v>
      </c>
      <c r="S23" s="53" t="s">
        <v>293</v>
      </c>
      <c r="T23" s="53" t="s">
        <v>293</v>
      </c>
      <c r="U23" s="53" t="s">
        <v>293</v>
      </c>
      <c r="V23" s="53" t="s">
        <v>295</v>
      </c>
      <c r="W23" s="53"/>
      <c r="X23" s="53"/>
      <c r="Y23" s="4">
        <f>ROUND(VLOOKUP(B23,'WaterHeater Technology'!$A$8:$AF$196,21,FALSE),0)</f>
        <v>434</v>
      </c>
      <c r="Z23" s="53"/>
      <c r="AA23" s="53"/>
      <c r="AB23" s="53"/>
      <c r="AC23" s="53" t="s">
        <v>296</v>
      </c>
      <c r="AD23" s="53" t="s">
        <v>297</v>
      </c>
      <c r="AE23" s="88" t="s">
        <v>298</v>
      </c>
      <c r="AF23" s="53"/>
      <c r="AG23" s="53" t="str">
        <f>"material costs only, includes contractor markup of "&amp;TEXT(INDEX('CostModel Coef'!$S$8:$S$11,VLOOKUP(B23,'WaterHeater Technology'!$A$8:$S$103,19,FALSE)),"00%")</f>
        <v>material costs only, includes contractor markup of 15%</v>
      </c>
    </row>
    <row r="24" spans="2:33">
      <c r="B24" s="53" t="s">
        <v>169</v>
      </c>
      <c r="C24" s="53" t="s">
        <v>284</v>
      </c>
      <c r="D24" s="53" t="s">
        <v>285</v>
      </c>
      <c r="E24" s="53" t="s">
        <v>286</v>
      </c>
      <c r="F24" s="29">
        <v>42229</v>
      </c>
      <c r="G24" s="53" t="s">
        <v>287</v>
      </c>
      <c r="H24" s="53" t="s">
        <v>288</v>
      </c>
      <c r="I24" s="53" t="s">
        <v>289</v>
      </c>
      <c r="J24" s="53" t="s">
        <v>290</v>
      </c>
      <c r="K24" s="53" t="s">
        <v>291</v>
      </c>
      <c r="L24" s="53" t="str">
        <f>VLOOKUP(VLOOKUP(B24,'WaterHeater Technology'!$A$8:$S$103,18,FALSE),'CostModel Coef'!$B$8:$T$11,19,FALSE)</f>
        <v>Stor_EF</v>
      </c>
      <c r="M24" s="53" t="str">
        <f t="shared" si="0"/>
        <v>Stor_EF-Gas-030gal-0.61EF</v>
      </c>
      <c r="N24" s="53" t="s">
        <v>292</v>
      </c>
      <c r="O24" s="53" t="s">
        <v>293</v>
      </c>
      <c r="P24" s="53" t="s">
        <v>294</v>
      </c>
      <c r="Q24" s="53" t="s">
        <v>293</v>
      </c>
      <c r="R24" s="53" t="s">
        <v>293</v>
      </c>
      <c r="S24" s="53" t="s">
        <v>293</v>
      </c>
      <c r="T24" s="53" t="s">
        <v>293</v>
      </c>
      <c r="U24" s="53" t="s">
        <v>293</v>
      </c>
      <c r="V24" s="53" t="s">
        <v>295</v>
      </c>
      <c r="W24" s="53"/>
      <c r="X24" s="53"/>
      <c r="Y24" s="4">
        <f>ROUND(VLOOKUP(B24,'WaterHeater Technology'!$A$8:$AF$196,21,FALSE),0)</f>
        <v>522</v>
      </c>
      <c r="Z24" s="53"/>
      <c r="AA24" s="53"/>
      <c r="AB24" s="53"/>
      <c r="AC24" s="53" t="s">
        <v>296</v>
      </c>
      <c r="AD24" s="53" t="s">
        <v>297</v>
      </c>
      <c r="AE24" s="88" t="s">
        <v>298</v>
      </c>
      <c r="AF24" s="53"/>
      <c r="AG24" s="53" t="str">
        <f>"material costs only, includes contractor markup of "&amp;TEXT(INDEX('CostModel Coef'!$S$8:$S$11,VLOOKUP(B24,'WaterHeater Technology'!$A$8:$S$103,19,FALSE)),"00%")</f>
        <v>material costs only, includes contractor markup of 15%</v>
      </c>
    </row>
    <row r="25" spans="2:33">
      <c r="B25" s="53" t="s">
        <v>171</v>
      </c>
      <c r="C25" s="53" t="s">
        <v>284</v>
      </c>
      <c r="D25" s="53" t="s">
        <v>285</v>
      </c>
      <c r="E25" s="53" t="s">
        <v>286</v>
      </c>
      <c r="F25" s="29">
        <v>42229</v>
      </c>
      <c r="G25" s="53" t="s">
        <v>287</v>
      </c>
      <c r="H25" s="53" t="s">
        <v>288</v>
      </c>
      <c r="I25" s="53" t="s">
        <v>289</v>
      </c>
      <c r="J25" s="53" t="s">
        <v>290</v>
      </c>
      <c r="K25" s="53" t="s">
        <v>291</v>
      </c>
      <c r="L25" s="53" t="str">
        <f>VLOOKUP(VLOOKUP(B25,'WaterHeater Technology'!$A$8:$S$103,18,FALSE),'CostModel Coef'!$B$8:$T$11,19,FALSE)</f>
        <v>Stor_EF</v>
      </c>
      <c r="M25" s="53" t="str">
        <f t="shared" si="0"/>
        <v>Stor_EF-Gas-030gal-0.62EF</v>
      </c>
      <c r="N25" s="53" t="s">
        <v>292</v>
      </c>
      <c r="O25" s="53" t="s">
        <v>293</v>
      </c>
      <c r="P25" s="53" t="s">
        <v>294</v>
      </c>
      <c r="Q25" s="53" t="s">
        <v>293</v>
      </c>
      <c r="R25" s="53" t="s">
        <v>293</v>
      </c>
      <c r="S25" s="53" t="s">
        <v>293</v>
      </c>
      <c r="T25" s="53" t="s">
        <v>293</v>
      </c>
      <c r="U25" s="53" t="s">
        <v>293</v>
      </c>
      <c r="V25" s="53" t="s">
        <v>295</v>
      </c>
      <c r="W25" s="53"/>
      <c r="X25" s="53"/>
      <c r="Y25" s="4">
        <f>ROUND(VLOOKUP(B25,'WaterHeater Technology'!$A$8:$AF$196,21,FALSE),0)</f>
        <v>541</v>
      </c>
      <c r="Z25" s="53"/>
      <c r="AA25" s="53"/>
      <c r="AB25" s="53"/>
      <c r="AC25" s="53" t="s">
        <v>296</v>
      </c>
      <c r="AD25" s="53" t="s">
        <v>297</v>
      </c>
      <c r="AE25" s="88" t="s">
        <v>298</v>
      </c>
      <c r="AF25" s="53"/>
      <c r="AG25" s="53" t="str">
        <f>"material costs only, includes contractor markup of "&amp;TEXT(INDEX('CostModel Coef'!$S$8:$S$11,VLOOKUP(B25,'WaterHeater Technology'!$A$8:$S$103,19,FALSE)),"00%")</f>
        <v>material costs only, includes contractor markup of 15%</v>
      </c>
    </row>
    <row r="26" spans="2:33">
      <c r="B26" s="53" t="s">
        <v>173</v>
      </c>
      <c r="C26" s="53" t="s">
        <v>284</v>
      </c>
      <c r="D26" s="53" t="s">
        <v>285</v>
      </c>
      <c r="E26" s="53" t="s">
        <v>286</v>
      </c>
      <c r="F26" s="29">
        <v>42229</v>
      </c>
      <c r="G26" s="53" t="s">
        <v>287</v>
      </c>
      <c r="H26" s="53" t="s">
        <v>288</v>
      </c>
      <c r="I26" s="53" t="s">
        <v>289</v>
      </c>
      <c r="J26" s="53" t="s">
        <v>290</v>
      </c>
      <c r="K26" s="53" t="s">
        <v>291</v>
      </c>
      <c r="L26" s="53" t="str">
        <f>VLOOKUP(VLOOKUP(B26,'WaterHeater Technology'!$A$8:$S$103,18,FALSE),'CostModel Coef'!$B$8:$T$11,19,FALSE)</f>
        <v>Stor_EF</v>
      </c>
      <c r="M26" s="53" t="str">
        <f t="shared" si="0"/>
        <v>Stor_EF-Gas-030gal-0.630EF</v>
      </c>
      <c r="N26" s="53" t="s">
        <v>292</v>
      </c>
      <c r="O26" s="53" t="s">
        <v>293</v>
      </c>
      <c r="P26" s="53" t="s">
        <v>294</v>
      </c>
      <c r="Q26" s="53" t="s">
        <v>293</v>
      </c>
      <c r="R26" s="53" t="s">
        <v>293</v>
      </c>
      <c r="S26" s="53" t="s">
        <v>293</v>
      </c>
      <c r="T26" s="53" t="s">
        <v>293</v>
      </c>
      <c r="U26" s="53" t="s">
        <v>293</v>
      </c>
      <c r="V26" s="53" t="s">
        <v>295</v>
      </c>
      <c r="W26" s="53"/>
      <c r="X26" s="53"/>
      <c r="Y26" s="4">
        <f>ROUND(VLOOKUP(B26,'WaterHeater Technology'!$A$8:$AF$196,21,FALSE),0)</f>
        <v>568</v>
      </c>
      <c r="Z26" s="53"/>
      <c r="AA26" s="53"/>
      <c r="AB26" s="53"/>
      <c r="AC26" s="53" t="s">
        <v>296</v>
      </c>
      <c r="AD26" s="53" t="s">
        <v>297</v>
      </c>
      <c r="AE26" s="88" t="s">
        <v>298</v>
      </c>
      <c r="AF26" s="53"/>
      <c r="AG26" s="53" t="str">
        <f>"material costs only, includes contractor markup of "&amp;TEXT(INDEX('CostModel Coef'!$S$8:$S$11,VLOOKUP(B26,'WaterHeater Technology'!$A$8:$S$103,19,FALSE)),"00%")</f>
        <v>material costs only, includes contractor markup of 15%</v>
      </c>
    </row>
    <row r="27" spans="2:33">
      <c r="B27" s="53" t="s">
        <v>175</v>
      </c>
      <c r="C27" s="53" t="s">
        <v>284</v>
      </c>
      <c r="D27" s="53" t="s">
        <v>285</v>
      </c>
      <c r="E27" s="53" t="s">
        <v>286</v>
      </c>
      <c r="F27" s="29">
        <v>42229</v>
      </c>
      <c r="G27" s="53" t="s">
        <v>287</v>
      </c>
      <c r="H27" s="53" t="s">
        <v>288</v>
      </c>
      <c r="I27" s="53" t="s">
        <v>289</v>
      </c>
      <c r="J27" s="53" t="s">
        <v>290</v>
      </c>
      <c r="K27" s="53" t="s">
        <v>291</v>
      </c>
      <c r="L27" s="53" t="str">
        <f>VLOOKUP(VLOOKUP(B27,'WaterHeater Technology'!$A$8:$S$103,18,FALSE),'CostModel Coef'!$B$8:$T$11,19,FALSE)</f>
        <v>Stor_EF</v>
      </c>
      <c r="M27" s="53" t="str">
        <f t="shared" si="0"/>
        <v>Stor_EF-Gas-030gal-0.65EF</v>
      </c>
      <c r="N27" s="53" t="s">
        <v>292</v>
      </c>
      <c r="O27" s="53" t="s">
        <v>293</v>
      </c>
      <c r="P27" s="53" t="s">
        <v>294</v>
      </c>
      <c r="Q27" s="53" t="s">
        <v>293</v>
      </c>
      <c r="R27" s="53" t="s">
        <v>293</v>
      </c>
      <c r="S27" s="53" t="s">
        <v>293</v>
      </c>
      <c r="T27" s="53" t="s">
        <v>293</v>
      </c>
      <c r="U27" s="53" t="s">
        <v>293</v>
      </c>
      <c r="V27" s="53" t="s">
        <v>295</v>
      </c>
      <c r="W27" s="53"/>
      <c r="X27" s="53"/>
      <c r="Y27" s="4">
        <f>ROUND(VLOOKUP(B27,'WaterHeater Technology'!$A$8:$AF$196,21,FALSE),0)</f>
        <v>622</v>
      </c>
      <c r="Z27" s="53"/>
      <c r="AA27" s="53"/>
      <c r="AB27" s="53"/>
      <c r="AC27" s="53" t="s">
        <v>296</v>
      </c>
      <c r="AD27" s="53" t="s">
        <v>297</v>
      </c>
      <c r="AE27" s="88" t="s">
        <v>298</v>
      </c>
      <c r="AF27" s="53"/>
      <c r="AG27" s="53" t="str">
        <f>"material costs only, includes contractor markup of "&amp;TEXT(INDEX('CostModel Coef'!$S$8:$S$11,VLOOKUP(B27,'WaterHeater Technology'!$A$8:$S$103,19,FALSE)),"00%")</f>
        <v>material costs only, includes contractor markup of 15%</v>
      </c>
    </row>
    <row r="28" spans="2:33">
      <c r="B28" s="53" t="s">
        <v>177</v>
      </c>
      <c r="C28" s="53" t="s">
        <v>284</v>
      </c>
      <c r="D28" s="53" t="s">
        <v>285</v>
      </c>
      <c r="E28" s="53" t="s">
        <v>286</v>
      </c>
      <c r="F28" s="29">
        <v>42229</v>
      </c>
      <c r="G28" s="53" t="s">
        <v>287</v>
      </c>
      <c r="H28" s="53" t="s">
        <v>288</v>
      </c>
      <c r="I28" s="53" t="s">
        <v>289</v>
      </c>
      <c r="J28" s="53" t="s">
        <v>290</v>
      </c>
      <c r="K28" s="53" t="s">
        <v>291</v>
      </c>
      <c r="L28" s="53" t="str">
        <f>VLOOKUP(VLOOKUP(B28,'WaterHeater Technology'!$A$8:$S$103,18,FALSE),'CostModel Coef'!$B$8:$T$11,19,FALSE)</f>
        <v>Stor_EF</v>
      </c>
      <c r="M28" s="53" t="str">
        <f t="shared" si="0"/>
        <v>Stor_EF-Gas-030gal-0.70EF</v>
      </c>
      <c r="N28" s="53" t="s">
        <v>292</v>
      </c>
      <c r="O28" s="53" t="s">
        <v>293</v>
      </c>
      <c r="P28" s="53" t="s">
        <v>294</v>
      </c>
      <c r="Q28" s="53" t="s">
        <v>293</v>
      </c>
      <c r="R28" s="53" t="s">
        <v>293</v>
      </c>
      <c r="S28" s="53" t="s">
        <v>293</v>
      </c>
      <c r="T28" s="53" t="s">
        <v>293</v>
      </c>
      <c r="U28" s="53" t="s">
        <v>293</v>
      </c>
      <c r="V28" s="53" t="s">
        <v>295</v>
      </c>
      <c r="W28" s="53"/>
      <c r="X28" s="53"/>
      <c r="Y28" s="4">
        <f>ROUND(VLOOKUP(B28,'WaterHeater Technology'!$A$8:$AF$196,21,FALSE),0)</f>
        <v>756</v>
      </c>
      <c r="Z28" s="53"/>
      <c r="AA28" s="53"/>
      <c r="AB28" s="53"/>
      <c r="AC28" s="53" t="s">
        <v>296</v>
      </c>
      <c r="AD28" s="53" t="s">
        <v>297</v>
      </c>
      <c r="AE28" s="88" t="s">
        <v>298</v>
      </c>
      <c r="AF28" s="53"/>
      <c r="AG28" s="53" t="str">
        <f>"material costs only, includes contractor markup of "&amp;TEXT(INDEX('CostModel Coef'!$S$8:$S$11,VLOOKUP(B28,'WaterHeater Technology'!$A$8:$S$103,19,FALSE)),"00%")</f>
        <v>material costs only, includes contractor markup of 15%</v>
      </c>
    </row>
    <row r="29" spans="2:33">
      <c r="B29" s="53" t="s">
        <v>182</v>
      </c>
      <c r="C29" s="53" t="s">
        <v>284</v>
      </c>
      <c r="D29" s="53" t="s">
        <v>285</v>
      </c>
      <c r="E29" s="53" t="s">
        <v>286</v>
      </c>
      <c r="F29" s="29">
        <v>42229</v>
      </c>
      <c r="G29" s="53" t="s">
        <v>287</v>
      </c>
      <c r="H29" s="53" t="s">
        <v>288</v>
      </c>
      <c r="I29" s="53" t="s">
        <v>289</v>
      </c>
      <c r="J29" s="53" t="s">
        <v>290</v>
      </c>
      <c r="K29" s="53" t="s">
        <v>291</v>
      </c>
      <c r="L29" s="53" t="str">
        <f>VLOOKUP(VLOOKUP(B29,'WaterHeater Technology'!$A$8:$S$103,18,FALSE),'CostModel Coef'!$B$8:$T$11,19,FALSE)</f>
        <v>Stor_EF</v>
      </c>
      <c r="M29" s="53" t="str">
        <f t="shared" si="0"/>
        <v>Stor_EF-Gas-030gal-0.7EF</v>
      </c>
      <c r="N29" s="53" t="s">
        <v>292</v>
      </c>
      <c r="O29" s="53" t="s">
        <v>293</v>
      </c>
      <c r="P29" s="53" t="s">
        <v>294</v>
      </c>
      <c r="Q29" s="53" t="s">
        <v>293</v>
      </c>
      <c r="R29" s="53" t="s">
        <v>293</v>
      </c>
      <c r="S29" s="53" t="s">
        <v>293</v>
      </c>
      <c r="T29" s="53" t="s">
        <v>293</v>
      </c>
      <c r="U29" s="53" t="s">
        <v>293</v>
      </c>
      <c r="V29" s="53" t="s">
        <v>295</v>
      </c>
      <c r="W29" s="53"/>
      <c r="X29" s="53"/>
      <c r="Y29" s="4">
        <f>ROUND(VLOOKUP(B29,'WaterHeater Technology'!$A$8:$AF$196,21,FALSE),0)</f>
        <v>756</v>
      </c>
      <c r="Z29" s="53"/>
      <c r="AA29" s="53"/>
      <c r="AB29" s="53"/>
      <c r="AC29" s="53" t="s">
        <v>296</v>
      </c>
      <c r="AD29" s="53" t="s">
        <v>297</v>
      </c>
      <c r="AE29" s="88" t="s">
        <v>298</v>
      </c>
      <c r="AF29" s="53"/>
      <c r="AG29" s="53" t="str">
        <f>"material costs only, includes contractor markup of "&amp;TEXT(INDEX('CostModel Coef'!$S$8:$S$11,VLOOKUP(B29,'WaterHeater Technology'!$A$8:$S$103,19,FALSE)),"00%")</f>
        <v>material costs only, includes contractor markup of 15%</v>
      </c>
    </row>
    <row r="30" spans="2:33">
      <c r="B30" s="53" t="s">
        <v>184</v>
      </c>
      <c r="C30" s="53" t="s">
        <v>284</v>
      </c>
      <c r="D30" s="53" t="s">
        <v>285</v>
      </c>
      <c r="E30" s="53" t="s">
        <v>286</v>
      </c>
      <c r="F30" s="29">
        <v>42229</v>
      </c>
      <c r="G30" s="53" t="s">
        <v>287</v>
      </c>
      <c r="H30" s="53" t="s">
        <v>288</v>
      </c>
      <c r="I30" s="53" t="s">
        <v>289</v>
      </c>
      <c r="J30" s="53" t="s">
        <v>290</v>
      </c>
      <c r="K30" s="53" t="s">
        <v>291</v>
      </c>
      <c r="L30" s="53" t="str">
        <f>VLOOKUP(VLOOKUP(B30,'WaterHeater Technology'!$A$8:$S$103,18,FALSE),'CostModel Coef'!$B$8:$T$11,19,FALSE)</f>
        <v>Stor_EF</v>
      </c>
      <c r="M30" s="53" t="str">
        <f t="shared" si="0"/>
        <v>Stor_EF-Gas-040gal-0.57EF</v>
      </c>
      <c r="N30" s="53" t="s">
        <v>292</v>
      </c>
      <c r="O30" s="53" t="s">
        <v>293</v>
      </c>
      <c r="P30" s="53" t="s">
        <v>294</v>
      </c>
      <c r="Q30" s="53" t="s">
        <v>293</v>
      </c>
      <c r="R30" s="53" t="s">
        <v>293</v>
      </c>
      <c r="S30" s="53" t="s">
        <v>293</v>
      </c>
      <c r="T30" s="53" t="s">
        <v>293</v>
      </c>
      <c r="U30" s="53" t="s">
        <v>293</v>
      </c>
      <c r="V30" s="53" t="s">
        <v>295</v>
      </c>
      <c r="W30" s="53"/>
      <c r="X30" s="53"/>
      <c r="Y30" s="4">
        <f>ROUND(VLOOKUP(B30,'WaterHeater Technology'!$A$8:$AF$196,21,FALSE),0)</f>
        <v>511</v>
      </c>
      <c r="Z30" s="53"/>
      <c r="AA30" s="53"/>
      <c r="AB30" s="53"/>
      <c r="AC30" s="53" t="s">
        <v>296</v>
      </c>
      <c r="AD30" s="53" t="s">
        <v>297</v>
      </c>
      <c r="AE30" s="88" t="s">
        <v>298</v>
      </c>
      <c r="AF30" s="53"/>
      <c r="AG30" s="53" t="str">
        <f>"material costs only, includes contractor markup of "&amp;TEXT(INDEX('CostModel Coef'!$S$8:$S$11,VLOOKUP(B30,'WaterHeater Technology'!$A$8:$S$103,19,FALSE)),"00%")</f>
        <v>material costs only, includes contractor markup of 15%</v>
      </c>
    </row>
    <row r="31" spans="2:33">
      <c r="B31" s="53" t="s">
        <v>186</v>
      </c>
      <c r="C31" s="53" t="s">
        <v>284</v>
      </c>
      <c r="D31" s="53" t="s">
        <v>285</v>
      </c>
      <c r="E31" s="53" t="s">
        <v>286</v>
      </c>
      <c r="F31" s="29">
        <v>42229</v>
      </c>
      <c r="G31" s="53" t="s">
        <v>287</v>
      </c>
      <c r="H31" s="53" t="s">
        <v>288</v>
      </c>
      <c r="I31" s="53" t="s">
        <v>289</v>
      </c>
      <c r="J31" s="53" t="s">
        <v>290</v>
      </c>
      <c r="K31" s="53" t="s">
        <v>291</v>
      </c>
      <c r="L31" s="53" t="str">
        <f>VLOOKUP(VLOOKUP(B31,'WaterHeater Technology'!$A$8:$S$103,18,FALSE),'CostModel Coef'!$B$8:$T$11,19,FALSE)</f>
        <v>Stor_EF</v>
      </c>
      <c r="M31" s="53" t="str">
        <f t="shared" si="0"/>
        <v>Stor_EF-Gas-040gal-0.58EF</v>
      </c>
      <c r="N31" s="53" t="s">
        <v>292</v>
      </c>
      <c r="O31" s="53" t="s">
        <v>293</v>
      </c>
      <c r="P31" s="53" t="s">
        <v>294</v>
      </c>
      <c r="Q31" s="53" t="s">
        <v>293</v>
      </c>
      <c r="R31" s="53" t="s">
        <v>293</v>
      </c>
      <c r="S31" s="53" t="s">
        <v>293</v>
      </c>
      <c r="T31" s="53" t="s">
        <v>293</v>
      </c>
      <c r="U31" s="53" t="s">
        <v>293</v>
      </c>
      <c r="V31" s="53" t="s">
        <v>295</v>
      </c>
      <c r="W31" s="53"/>
      <c r="X31" s="53"/>
      <c r="Y31" s="4">
        <f>ROUND(VLOOKUP(B31,'WaterHeater Technology'!$A$8:$AF$196,21,FALSE),0)</f>
        <v>538</v>
      </c>
      <c r="Z31" s="53"/>
      <c r="AA31" s="53"/>
      <c r="AB31" s="53"/>
      <c r="AC31" s="53" t="s">
        <v>296</v>
      </c>
      <c r="AD31" s="53" t="s">
        <v>297</v>
      </c>
      <c r="AE31" s="88" t="s">
        <v>298</v>
      </c>
      <c r="AF31" s="53"/>
      <c r="AG31" s="53" t="str">
        <f>"material costs only, includes contractor markup of "&amp;TEXT(INDEX('CostModel Coef'!$S$8:$S$11,VLOOKUP(B31,'WaterHeater Technology'!$A$8:$S$103,19,FALSE)),"00%")</f>
        <v>material costs only, includes contractor markup of 15%</v>
      </c>
    </row>
    <row r="32" spans="2:33">
      <c r="B32" s="53" t="s">
        <v>188</v>
      </c>
      <c r="C32" s="53" t="s">
        <v>284</v>
      </c>
      <c r="D32" s="53" t="s">
        <v>285</v>
      </c>
      <c r="E32" s="53" t="s">
        <v>286</v>
      </c>
      <c r="F32" s="29">
        <v>42229</v>
      </c>
      <c r="G32" s="53" t="s">
        <v>287</v>
      </c>
      <c r="H32" s="53" t="s">
        <v>288</v>
      </c>
      <c r="I32" s="53" t="s">
        <v>289</v>
      </c>
      <c r="J32" s="53" t="s">
        <v>290</v>
      </c>
      <c r="K32" s="53" t="s">
        <v>291</v>
      </c>
      <c r="L32" s="53" t="str">
        <f>VLOOKUP(VLOOKUP(B32,'WaterHeater Technology'!$A$8:$S$103,18,FALSE),'CostModel Coef'!$B$8:$T$11,19,FALSE)</f>
        <v>Stor_EF</v>
      </c>
      <c r="M32" s="53" t="str">
        <f t="shared" si="0"/>
        <v>Stor_EF-Gas-040gal-0.59EF</v>
      </c>
      <c r="N32" s="53" t="s">
        <v>292</v>
      </c>
      <c r="O32" s="53" t="s">
        <v>293</v>
      </c>
      <c r="P32" s="53" t="s">
        <v>294</v>
      </c>
      <c r="Q32" s="53" t="s">
        <v>293</v>
      </c>
      <c r="R32" s="53" t="s">
        <v>293</v>
      </c>
      <c r="S32" s="53" t="s">
        <v>293</v>
      </c>
      <c r="T32" s="53" t="s">
        <v>293</v>
      </c>
      <c r="U32" s="53" t="s">
        <v>293</v>
      </c>
      <c r="V32" s="53" t="s">
        <v>295</v>
      </c>
      <c r="W32" s="53"/>
      <c r="X32" s="53"/>
      <c r="Y32" s="4">
        <f>ROUND(VLOOKUP(B32,'WaterHeater Technology'!$A$8:$AF$196,21,FALSE),0)</f>
        <v>576</v>
      </c>
      <c r="Z32" s="53"/>
      <c r="AA32" s="53"/>
      <c r="AB32" s="53"/>
      <c r="AC32" s="53" t="s">
        <v>296</v>
      </c>
      <c r="AD32" s="53" t="s">
        <v>297</v>
      </c>
      <c r="AE32" s="88" t="s">
        <v>298</v>
      </c>
      <c r="AF32" s="53"/>
      <c r="AG32" s="53" t="str">
        <f>"material costs only, includes contractor markup of "&amp;TEXT(INDEX('CostModel Coef'!$S$8:$S$11,VLOOKUP(B32,'WaterHeater Technology'!$A$8:$S$103,19,FALSE)),"00%")</f>
        <v>material costs only, includes contractor markup of 15%</v>
      </c>
    </row>
    <row r="33" spans="2:33">
      <c r="B33" s="53" t="s">
        <v>190</v>
      </c>
      <c r="C33" s="53" t="s">
        <v>284</v>
      </c>
      <c r="D33" s="53" t="s">
        <v>285</v>
      </c>
      <c r="E33" s="53" t="s">
        <v>286</v>
      </c>
      <c r="F33" s="29">
        <v>42229</v>
      </c>
      <c r="G33" s="53" t="s">
        <v>287</v>
      </c>
      <c r="H33" s="53" t="s">
        <v>288</v>
      </c>
      <c r="I33" s="53" t="s">
        <v>289</v>
      </c>
      <c r="J33" s="53" t="s">
        <v>290</v>
      </c>
      <c r="K33" s="53" t="s">
        <v>291</v>
      </c>
      <c r="L33" s="53" t="str">
        <f>VLOOKUP(VLOOKUP(B33,'WaterHeater Technology'!$A$8:$S$103,18,FALSE),'CostModel Coef'!$B$8:$T$11,19,FALSE)</f>
        <v>Stor_EF</v>
      </c>
      <c r="M33" s="53" t="str">
        <f t="shared" si="0"/>
        <v>Stor_EF-Gas-040gal-0.615EF</v>
      </c>
      <c r="N33" s="53" t="s">
        <v>292</v>
      </c>
      <c r="O33" s="53" t="s">
        <v>293</v>
      </c>
      <c r="P33" s="53" t="s">
        <v>294</v>
      </c>
      <c r="Q33" s="53" t="s">
        <v>293</v>
      </c>
      <c r="R33" s="53" t="s">
        <v>293</v>
      </c>
      <c r="S33" s="53" t="s">
        <v>293</v>
      </c>
      <c r="T33" s="53" t="s">
        <v>293</v>
      </c>
      <c r="U33" s="53" t="s">
        <v>293</v>
      </c>
      <c r="V33" s="53" t="s">
        <v>295</v>
      </c>
      <c r="W33" s="53"/>
      <c r="X33" s="53"/>
      <c r="Y33" s="4">
        <f>ROUND(VLOOKUP(B33,'WaterHeater Technology'!$A$8:$AF$196,21,FALSE),0)</f>
        <v>632</v>
      </c>
      <c r="Z33" s="53"/>
      <c r="AA33" s="53"/>
      <c r="AB33" s="53"/>
      <c r="AC33" s="53" t="s">
        <v>296</v>
      </c>
      <c r="AD33" s="53" t="s">
        <v>297</v>
      </c>
      <c r="AE33" s="88" t="s">
        <v>298</v>
      </c>
      <c r="AF33" s="53"/>
      <c r="AG33" s="53" t="str">
        <f>"material costs only, includes contractor markup of "&amp;TEXT(INDEX('CostModel Coef'!$S$8:$S$11,VLOOKUP(B33,'WaterHeater Technology'!$A$8:$S$103,19,FALSE)),"00%")</f>
        <v>material costs only, includes contractor markup of 15%</v>
      </c>
    </row>
    <row r="34" spans="2:33">
      <c r="B34" s="53" t="s">
        <v>192</v>
      </c>
      <c r="C34" s="53" t="s">
        <v>284</v>
      </c>
      <c r="D34" s="53" t="s">
        <v>285</v>
      </c>
      <c r="E34" s="53" t="s">
        <v>286</v>
      </c>
      <c r="F34" s="29">
        <v>42229</v>
      </c>
      <c r="G34" s="53" t="s">
        <v>287</v>
      </c>
      <c r="H34" s="53" t="s">
        <v>288</v>
      </c>
      <c r="I34" s="53" t="s">
        <v>289</v>
      </c>
      <c r="J34" s="53" t="s">
        <v>290</v>
      </c>
      <c r="K34" s="53" t="s">
        <v>291</v>
      </c>
      <c r="L34" s="53" t="str">
        <f>VLOOKUP(VLOOKUP(B34,'WaterHeater Technology'!$A$8:$S$103,18,FALSE),'CostModel Coef'!$B$8:$T$11,19,FALSE)</f>
        <v>Stor_EF</v>
      </c>
      <c r="M34" s="53" t="str">
        <f t="shared" si="0"/>
        <v>Stor_EF-Gas-040gal-0.62EF</v>
      </c>
      <c r="N34" s="53" t="s">
        <v>292</v>
      </c>
      <c r="O34" s="53" t="s">
        <v>293</v>
      </c>
      <c r="P34" s="53" t="s">
        <v>294</v>
      </c>
      <c r="Q34" s="53" t="s">
        <v>293</v>
      </c>
      <c r="R34" s="53" t="s">
        <v>293</v>
      </c>
      <c r="S34" s="53" t="s">
        <v>293</v>
      </c>
      <c r="T34" s="53" t="s">
        <v>293</v>
      </c>
      <c r="U34" s="53" t="s">
        <v>293</v>
      </c>
      <c r="V34" s="53" t="s">
        <v>295</v>
      </c>
      <c r="W34" s="53"/>
      <c r="X34" s="53"/>
      <c r="Y34" s="4">
        <f>ROUND(VLOOKUP(B34,'WaterHeater Technology'!$A$8:$AF$196,21,FALSE),0)</f>
        <v>646</v>
      </c>
      <c r="Z34" s="53"/>
      <c r="AA34" s="53"/>
      <c r="AB34" s="53"/>
      <c r="AC34" s="53" t="s">
        <v>296</v>
      </c>
      <c r="AD34" s="53" t="s">
        <v>297</v>
      </c>
      <c r="AE34" s="88" t="s">
        <v>298</v>
      </c>
      <c r="AF34" s="53"/>
      <c r="AG34" s="53" t="str">
        <f>"material costs only, includes contractor markup of "&amp;TEXT(INDEX('CostModel Coef'!$S$8:$S$11,VLOOKUP(B34,'WaterHeater Technology'!$A$8:$S$103,19,FALSE)),"00%")</f>
        <v>material costs only, includes contractor markup of 15%</v>
      </c>
    </row>
    <row r="35" spans="2:33">
      <c r="B35" s="53" t="s">
        <v>194</v>
      </c>
      <c r="C35" s="53" t="s">
        <v>284</v>
      </c>
      <c r="D35" s="53" t="s">
        <v>285</v>
      </c>
      <c r="E35" s="53" t="s">
        <v>286</v>
      </c>
      <c r="F35" s="29">
        <v>42229</v>
      </c>
      <c r="G35" s="53" t="s">
        <v>287</v>
      </c>
      <c r="H35" s="53" t="s">
        <v>288</v>
      </c>
      <c r="I35" s="53" t="s">
        <v>289</v>
      </c>
      <c r="J35" s="53" t="s">
        <v>290</v>
      </c>
      <c r="K35" s="53" t="s">
        <v>291</v>
      </c>
      <c r="L35" s="53" t="str">
        <f>VLOOKUP(VLOOKUP(B35,'WaterHeater Technology'!$A$8:$S$103,18,FALSE),'CostModel Coef'!$B$8:$T$11,19,FALSE)</f>
        <v>Stor_EF</v>
      </c>
      <c r="M35" s="53" t="str">
        <f t="shared" si="0"/>
        <v>Stor_EF-Gas-040gal-0.65EF</v>
      </c>
      <c r="N35" s="53" t="s">
        <v>292</v>
      </c>
      <c r="O35" s="53" t="s">
        <v>293</v>
      </c>
      <c r="P35" s="53" t="s">
        <v>294</v>
      </c>
      <c r="Q35" s="53" t="s">
        <v>293</v>
      </c>
      <c r="R35" s="53" t="s">
        <v>293</v>
      </c>
      <c r="S35" s="53" t="s">
        <v>293</v>
      </c>
      <c r="T35" s="53" t="s">
        <v>293</v>
      </c>
      <c r="U35" s="53" t="s">
        <v>293</v>
      </c>
      <c r="V35" s="53" t="s">
        <v>295</v>
      </c>
      <c r="W35" s="53"/>
      <c r="X35" s="53"/>
      <c r="Y35" s="4">
        <f>ROUND(VLOOKUP(B35,'WaterHeater Technology'!$A$8:$AF$196,21,FALSE),0)</f>
        <v>726</v>
      </c>
      <c r="Z35" s="53"/>
      <c r="AA35" s="53"/>
      <c r="AB35" s="53"/>
      <c r="AC35" s="53" t="s">
        <v>296</v>
      </c>
      <c r="AD35" s="53" t="s">
        <v>297</v>
      </c>
      <c r="AE35" s="88" t="s">
        <v>298</v>
      </c>
      <c r="AF35" s="53"/>
      <c r="AG35" s="53" t="str">
        <f>"material costs only, includes contractor markup of "&amp;TEXT(INDEX('CostModel Coef'!$S$8:$S$11,VLOOKUP(B35,'WaterHeater Technology'!$A$8:$S$103,19,FALSE)),"00%")</f>
        <v>material costs only, includes contractor markup of 15%</v>
      </c>
    </row>
    <row r="36" spans="2:33">
      <c r="B36" s="53" t="s">
        <v>196</v>
      </c>
      <c r="C36" s="53" t="s">
        <v>284</v>
      </c>
      <c r="D36" s="53" t="s">
        <v>285</v>
      </c>
      <c r="E36" s="53" t="s">
        <v>286</v>
      </c>
      <c r="F36" s="29">
        <v>42229</v>
      </c>
      <c r="G36" s="53" t="s">
        <v>287</v>
      </c>
      <c r="H36" s="53" t="s">
        <v>288</v>
      </c>
      <c r="I36" s="53" t="s">
        <v>289</v>
      </c>
      <c r="J36" s="53" t="s">
        <v>290</v>
      </c>
      <c r="K36" s="53" t="s">
        <v>291</v>
      </c>
      <c r="L36" s="53" t="str">
        <f>VLOOKUP(VLOOKUP(B36,'WaterHeater Technology'!$A$8:$S$103,18,FALSE),'CostModel Coef'!$B$8:$T$11,19,FALSE)</f>
        <v>Stor_EF</v>
      </c>
      <c r="M36" s="53" t="str">
        <f t="shared" si="0"/>
        <v>Stor_EF-Gas-040gal-0.67EF</v>
      </c>
      <c r="N36" s="53" t="s">
        <v>292</v>
      </c>
      <c r="O36" s="53" t="s">
        <v>293</v>
      </c>
      <c r="P36" s="53" t="s">
        <v>294</v>
      </c>
      <c r="Q36" s="53" t="s">
        <v>293</v>
      </c>
      <c r="R36" s="53" t="s">
        <v>293</v>
      </c>
      <c r="S36" s="53" t="s">
        <v>293</v>
      </c>
      <c r="T36" s="53" t="s">
        <v>293</v>
      </c>
      <c r="U36" s="53" t="s">
        <v>293</v>
      </c>
      <c r="V36" s="53" t="s">
        <v>295</v>
      </c>
      <c r="W36" s="53"/>
      <c r="X36" s="53"/>
      <c r="Y36" s="4">
        <f>ROUND(VLOOKUP(B36,'WaterHeater Technology'!$A$8:$AF$196,21,FALSE),0)</f>
        <v>780</v>
      </c>
      <c r="Z36" s="53"/>
      <c r="AA36" s="53"/>
      <c r="AB36" s="53"/>
      <c r="AC36" s="53" t="s">
        <v>296</v>
      </c>
      <c r="AD36" s="53" t="s">
        <v>297</v>
      </c>
      <c r="AE36" s="88" t="s">
        <v>298</v>
      </c>
      <c r="AF36" s="53"/>
      <c r="AG36" s="53" t="str">
        <f>"material costs only, includes contractor markup of "&amp;TEXT(INDEX('CostModel Coef'!$S$8:$S$11,VLOOKUP(B36,'WaterHeater Technology'!$A$8:$S$103,19,FALSE)),"00%")</f>
        <v>material costs only, includes contractor markup of 15%</v>
      </c>
    </row>
    <row r="37" spans="2:33">
      <c r="B37" s="53" t="s">
        <v>198</v>
      </c>
      <c r="C37" s="53" t="s">
        <v>284</v>
      </c>
      <c r="D37" s="53" t="s">
        <v>285</v>
      </c>
      <c r="E37" s="53" t="s">
        <v>286</v>
      </c>
      <c r="F37" s="29">
        <v>42229</v>
      </c>
      <c r="G37" s="53" t="s">
        <v>287</v>
      </c>
      <c r="H37" s="53" t="s">
        <v>288</v>
      </c>
      <c r="I37" s="53" t="s">
        <v>289</v>
      </c>
      <c r="J37" s="53" t="s">
        <v>290</v>
      </c>
      <c r="K37" s="53" t="s">
        <v>291</v>
      </c>
      <c r="L37" s="53" t="str">
        <f>VLOOKUP(VLOOKUP(B37,'WaterHeater Technology'!$A$8:$S$103,18,FALSE),'CostModel Coef'!$B$8:$T$11,19,FALSE)</f>
        <v>Stor_EF</v>
      </c>
      <c r="M37" s="53" t="str">
        <f t="shared" si="0"/>
        <v>Stor_EF-Gas-040gal-0.70EF</v>
      </c>
      <c r="N37" s="53" t="s">
        <v>292</v>
      </c>
      <c r="O37" s="53" t="s">
        <v>293</v>
      </c>
      <c r="P37" s="53" t="s">
        <v>294</v>
      </c>
      <c r="Q37" s="53" t="s">
        <v>293</v>
      </c>
      <c r="R37" s="53" t="s">
        <v>293</v>
      </c>
      <c r="S37" s="53" t="s">
        <v>293</v>
      </c>
      <c r="T37" s="53" t="s">
        <v>293</v>
      </c>
      <c r="U37" s="53" t="s">
        <v>293</v>
      </c>
      <c r="V37" s="53" t="s">
        <v>295</v>
      </c>
      <c r="W37" s="53"/>
      <c r="X37" s="53"/>
      <c r="Y37" s="4">
        <f>ROUND(VLOOKUP(B37,'WaterHeater Technology'!$A$8:$AF$196,21,FALSE),0)</f>
        <v>860</v>
      </c>
      <c r="Z37" s="53"/>
      <c r="AA37" s="53"/>
      <c r="AB37" s="53"/>
      <c r="AC37" s="53" t="s">
        <v>296</v>
      </c>
      <c r="AD37" s="53" t="s">
        <v>297</v>
      </c>
      <c r="AE37" s="88" t="s">
        <v>298</v>
      </c>
      <c r="AF37" s="53"/>
      <c r="AG37" s="53" t="str">
        <f>"material costs only, includes contractor markup of "&amp;TEXT(INDEX('CostModel Coef'!$S$8:$S$11,VLOOKUP(B37,'WaterHeater Technology'!$A$8:$S$103,19,FALSE)),"00%")</f>
        <v>material costs only, includes contractor markup of 15%</v>
      </c>
    </row>
    <row r="38" spans="2:33">
      <c r="B38" s="53" t="s">
        <v>200</v>
      </c>
      <c r="C38" s="53" t="s">
        <v>284</v>
      </c>
      <c r="D38" s="53" t="s">
        <v>285</v>
      </c>
      <c r="E38" s="53" t="s">
        <v>286</v>
      </c>
      <c r="F38" s="29">
        <v>42229</v>
      </c>
      <c r="G38" s="53" t="s">
        <v>287</v>
      </c>
      <c r="H38" s="53" t="s">
        <v>288</v>
      </c>
      <c r="I38" s="53" t="s">
        <v>289</v>
      </c>
      <c r="J38" s="53" t="s">
        <v>290</v>
      </c>
      <c r="K38" s="53" t="s">
        <v>291</v>
      </c>
      <c r="L38" s="53" t="str">
        <f>VLOOKUP(VLOOKUP(B38,'WaterHeater Technology'!$A$8:$S$103,18,FALSE),'CostModel Coef'!$B$8:$T$11,19,FALSE)</f>
        <v>Stor_EF</v>
      </c>
      <c r="M38" s="53" t="str">
        <f t="shared" si="0"/>
        <v>Stor_EF-Gas-040gal-0.7EF</v>
      </c>
      <c r="N38" s="53" t="s">
        <v>292</v>
      </c>
      <c r="O38" s="53" t="s">
        <v>293</v>
      </c>
      <c r="P38" s="53" t="s">
        <v>294</v>
      </c>
      <c r="Q38" s="53" t="s">
        <v>293</v>
      </c>
      <c r="R38" s="53" t="s">
        <v>293</v>
      </c>
      <c r="S38" s="53" t="s">
        <v>293</v>
      </c>
      <c r="T38" s="53" t="s">
        <v>293</v>
      </c>
      <c r="U38" s="53" t="s">
        <v>293</v>
      </c>
      <c r="V38" s="53" t="s">
        <v>295</v>
      </c>
      <c r="W38" s="53"/>
      <c r="X38" s="53"/>
      <c r="Y38" s="4">
        <f>ROUND(VLOOKUP(B38,'WaterHeater Technology'!$A$8:$AF$196,21,FALSE),0)</f>
        <v>860</v>
      </c>
      <c r="Z38" s="53"/>
      <c r="AA38" s="53"/>
      <c r="AB38" s="53"/>
      <c r="AC38" s="53" t="s">
        <v>296</v>
      </c>
      <c r="AD38" s="53" t="s">
        <v>297</v>
      </c>
      <c r="AE38" s="88" t="s">
        <v>298</v>
      </c>
      <c r="AF38" s="53"/>
      <c r="AG38" s="53" t="str">
        <f>"material costs only, includes contractor markup of "&amp;TEXT(INDEX('CostModel Coef'!$S$8:$S$11,VLOOKUP(B38,'WaterHeater Technology'!$A$8:$S$103,19,FALSE)),"00%")</f>
        <v>material costs only, includes contractor markup of 15%</v>
      </c>
    </row>
    <row r="39" spans="2:33">
      <c r="B39" s="53" t="s">
        <v>202</v>
      </c>
      <c r="C39" s="53" t="s">
        <v>284</v>
      </c>
      <c r="D39" s="53" t="s">
        <v>285</v>
      </c>
      <c r="E39" s="53" t="s">
        <v>286</v>
      </c>
      <c r="F39" s="29">
        <v>42229</v>
      </c>
      <c r="G39" s="53" t="s">
        <v>287</v>
      </c>
      <c r="H39" s="53" t="s">
        <v>288</v>
      </c>
      <c r="I39" s="53" t="s">
        <v>289</v>
      </c>
      <c r="J39" s="53" t="s">
        <v>290</v>
      </c>
      <c r="K39" s="53" t="s">
        <v>291</v>
      </c>
      <c r="L39" s="53" t="str">
        <f>VLOOKUP(VLOOKUP(B39,'WaterHeater Technology'!$A$8:$S$103,18,FALSE),'CostModel Coef'!$B$8:$T$11,19,FALSE)</f>
        <v>Stor_EF</v>
      </c>
      <c r="M39" s="53" t="str">
        <f t="shared" si="0"/>
        <v>Stor_EF-Gas-040gal-0.82EF</v>
      </c>
      <c r="N39" s="53" t="s">
        <v>292</v>
      </c>
      <c r="O39" s="53" t="s">
        <v>293</v>
      </c>
      <c r="P39" s="53" t="s">
        <v>294</v>
      </c>
      <c r="Q39" s="53" t="s">
        <v>293</v>
      </c>
      <c r="R39" s="53" t="s">
        <v>293</v>
      </c>
      <c r="S39" s="53" t="s">
        <v>293</v>
      </c>
      <c r="T39" s="53" t="s">
        <v>293</v>
      </c>
      <c r="U39" s="53" t="s">
        <v>293</v>
      </c>
      <c r="V39" s="53" t="s">
        <v>295</v>
      </c>
      <c r="W39" s="53"/>
      <c r="X39" s="53"/>
      <c r="Y39" s="4">
        <f>ROUND(VLOOKUP(B39,'WaterHeater Technology'!$A$8:$AF$196,21,FALSE),0)</f>
        <v>1726</v>
      </c>
      <c r="Z39" s="53"/>
      <c r="AA39" s="53"/>
      <c r="AB39" s="53"/>
      <c r="AC39" s="53" t="s">
        <v>296</v>
      </c>
      <c r="AD39" s="53" t="s">
        <v>297</v>
      </c>
      <c r="AE39" s="88" t="s">
        <v>298</v>
      </c>
      <c r="AF39" s="53"/>
      <c r="AG39" s="53" t="str">
        <f>"material costs only, includes contractor markup of "&amp;TEXT(INDEX('CostModel Coef'!$S$8:$S$11,VLOOKUP(B39,'WaterHeater Technology'!$A$8:$S$103,19,FALSE)),"00%")</f>
        <v>material costs only, includes contractor markup of 15%</v>
      </c>
    </row>
    <row r="40" spans="2:33">
      <c r="B40" s="53" t="s">
        <v>204</v>
      </c>
      <c r="C40" s="53" t="s">
        <v>284</v>
      </c>
      <c r="D40" s="53" t="s">
        <v>285</v>
      </c>
      <c r="E40" s="53" t="s">
        <v>286</v>
      </c>
      <c r="F40" s="29">
        <v>42229</v>
      </c>
      <c r="G40" s="53" t="s">
        <v>287</v>
      </c>
      <c r="H40" s="53" t="s">
        <v>288</v>
      </c>
      <c r="I40" s="53" t="s">
        <v>289</v>
      </c>
      <c r="J40" s="53" t="s">
        <v>290</v>
      </c>
      <c r="K40" s="53" t="s">
        <v>291</v>
      </c>
      <c r="L40" s="53" t="str">
        <f>VLOOKUP(VLOOKUP(B40,'WaterHeater Technology'!$A$8:$S$103,18,FALSE),'CostModel Coef'!$B$8:$T$11,19,FALSE)</f>
        <v>Stor_EF</v>
      </c>
      <c r="M40" s="53" t="str">
        <f t="shared" si="0"/>
        <v>Stor_EF-Gas-050gal-0.57EF</v>
      </c>
      <c r="N40" s="53" t="s">
        <v>292</v>
      </c>
      <c r="O40" s="53" t="s">
        <v>293</v>
      </c>
      <c r="P40" s="53" t="s">
        <v>294</v>
      </c>
      <c r="Q40" s="53" t="s">
        <v>293</v>
      </c>
      <c r="R40" s="53" t="s">
        <v>293</v>
      </c>
      <c r="S40" s="53" t="s">
        <v>293</v>
      </c>
      <c r="T40" s="53" t="s">
        <v>293</v>
      </c>
      <c r="U40" s="53" t="s">
        <v>293</v>
      </c>
      <c r="V40" s="53" t="s">
        <v>295</v>
      </c>
      <c r="W40" s="53"/>
      <c r="X40" s="53"/>
      <c r="Y40" s="4">
        <f>ROUND(VLOOKUP(B40,'WaterHeater Technology'!$A$8:$AF$196,21,FALSE),0)</f>
        <v>616</v>
      </c>
      <c r="Z40" s="53"/>
      <c r="AA40" s="53"/>
      <c r="AB40" s="53"/>
      <c r="AC40" s="53" t="s">
        <v>296</v>
      </c>
      <c r="AD40" s="53" t="s">
        <v>297</v>
      </c>
      <c r="AE40" s="88" t="s">
        <v>298</v>
      </c>
      <c r="AF40" s="53"/>
      <c r="AG40" s="53" t="str">
        <f>"material costs only, includes contractor markup of "&amp;TEXT(INDEX('CostModel Coef'!$S$8:$S$11,VLOOKUP(B40,'WaterHeater Technology'!$A$8:$S$103,19,FALSE)),"00%")</f>
        <v>material costs only, includes contractor markup of 15%</v>
      </c>
    </row>
    <row r="41" spans="2:33">
      <c r="B41" s="53" t="s">
        <v>206</v>
      </c>
      <c r="C41" s="53" t="s">
        <v>284</v>
      </c>
      <c r="D41" s="53" t="s">
        <v>285</v>
      </c>
      <c r="E41" s="53" t="s">
        <v>286</v>
      </c>
      <c r="F41" s="29">
        <v>42229</v>
      </c>
      <c r="G41" s="53" t="s">
        <v>287</v>
      </c>
      <c r="H41" s="53" t="s">
        <v>288</v>
      </c>
      <c r="I41" s="53" t="s">
        <v>289</v>
      </c>
      <c r="J41" s="53" t="s">
        <v>290</v>
      </c>
      <c r="K41" s="53" t="s">
        <v>291</v>
      </c>
      <c r="L41" s="53" t="str">
        <f>VLOOKUP(VLOOKUP(B41,'WaterHeater Technology'!$A$8:$S$103,18,FALSE),'CostModel Coef'!$B$8:$T$11,19,FALSE)</f>
        <v>Stor_EF</v>
      </c>
      <c r="M41" s="53" t="str">
        <f t="shared" si="0"/>
        <v>Stor_EF-Gas-050gal-0.58EF</v>
      </c>
      <c r="N41" s="53" t="s">
        <v>292</v>
      </c>
      <c r="O41" s="53" t="s">
        <v>293</v>
      </c>
      <c r="P41" s="53" t="s">
        <v>294</v>
      </c>
      <c r="Q41" s="53" t="s">
        <v>293</v>
      </c>
      <c r="R41" s="53" t="s">
        <v>293</v>
      </c>
      <c r="S41" s="53" t="s">
        <v>293</v>
      </c>
      <c r="T41" s="53" t="s">
        <v>293</v>
      </c>
      <c r="U41" s="53" t="s">
        <v>293</v>
      </c>
      <c r="V41" s="53" t="s">
        <v>295</v>
      </c>
      <c r="W41" s="53"/>
      <c r="X41" s="53"/>
      <c r="Y41" s="4">
        <f>ROUND(VLOOKUP(B41,'WaterHeater Technology'!$A$8:$AF$196,21,FALSE),0)</f>
        <v>629</v>
      </c>
      <c r="Z41" s="53"/>
      <c r="AA41" s="53"/>
      <c r="AB41" s="53"/>
      <c r="AC41" s="53" t="s">
        <v>296</v>
      </c>
      <c r="AD41" s="53" t="s">
        <v>297</v>
      </c>
      <c r="AE41" s="88" t="s">
        <v>298</v>
      </c>
      <c r="AF41" s="53"/>
      <c r="AG41" s="53" t="str">
        <f>"material costs only, includes contractor markup of "&amp;TEXT(INDEX('CostModel Coef'!$S$8:$S$11,VLOOKUP(B41,'WaterHeater Technology'!$A$8:$S$103,19,FALSE)),"00%")</f>
        <v>material costs only, includes contractor markup of 15%</v>
      </c>
    </row>
    <row r="42" spans="2:33">
      <c r="B42" s="53" t="s">
        <v>208</v>
      </c>
      <c r="C42" s="53" t="s">
        <v>284</v>
      </c>
      <c r="D42" s="53" t="s">
        <v>285</v>
      </c>
      <c r="E42" s="53" t="s">
        <v>286</v>
      </c>
      <c r="F42" s="29">
        <v>42229</v>
      </c>
      <c r="G42" s="53" t="s">
        <v>287</v>
      </c>
      <c r="H42" s="53" t="s">
        <v>288</v>
      </c>
      <c r="I42" s="53" t="s">
        <v>289</v>
      </c>
      <c r="J42" s="53" t="s">
        <v>290</v>
      </c>
      <c r="K42" s="53" t="s">
        <v>291</v>
      </c>
      <c r="L42" s="53" t="str">
        <f>VLOOKUP(VLOOKUP(B42,'WaterHeater Technology'!$A$8:$S$103,18,FALSE),'CostModel Coef'!$B$8:$T$11,19,FALSE)</f>
        <v>Stor_EF</v>
      </c>
      <c r="M42" s="53" t="str">
        <f t="shared" si="0"/>
        <v>Stor_EF-Gas-050gal-0.600EF</v>
      </c>
      <c r="N42" s="53" t="s">
        <v>292</v>
      </c>
      <c r="O42" s="53" t="s">
        <v>293</v>
      </c>
      <c r="P42" s="53" t="s">
        <v>294</v>
      </c>
      <c r="Q42" s="53" t="s">
        <v>293</v>
      </c>
      <c r="R42" s="53" t="s">
        <v>293</v>
      </c>
      <c r="S42" s="53" t="s">
        <v>293</v>
      </c>
      <c r="T42" s="53" t="s">
        <v>293</v>
      </c>
      <c r="U42" s="53" t="s">
        <v>293</v>
      </c>
      <c r="V42" s="53" t="s">
        <v>295</v>
      </c>
      <c r="W42" s="53"/>
      <c r="X42" s="53"/>
      <c r="Y42" s="4">
        <f>ROUND(VLOOKUP(B42,'WaterHeater Technology'!$A$8:$AF$196,21,FALSE),0)</f>
        <v>696</v>
      </c>
      <c r="Z42" s="53"/>
      <c r="AA42" s="53"/>
      <c r="AB42" s="53"/>
      <c r="AC42" s="53" t="s">
        <v>296</v>
      </c>
      <c r="AD42" s="53" t="s">
        <v>297</v>
      </c>
      <c r="AE42" s="88" t="s">
        <v>298</v>
      </c>
      <c r="AF42" s="53"/>
      <c r="AG42" s="53" t="str">
        <f>"material costs only, includes contractor markup of "&amp;TEXT(INDEX('CostModel Coef'!$S$8:$S$11,VLOOKUP(B42,'WaterHeater Technology'!$A$8:$S$103,19,FALSE)),"00%")</f>
        <v>material costs only, includes contractor markup of 15%</v>
      </c>
    </row>
    <row r="43" spans="2:33">
      <c r="B43" s="53" t="s">
        <v>210</v>
      </c>
      <c r="C43" s="53" t="s">
        <v>284</v>
      </c>
      <c r="D43" s="53" t="s">
        <v>285</v>
      </c>
      <c r="E43" s="53" t="s">
        <v>286</v>
      </c>
      <c r="F43" s="29">
        <v>42229</v>
      </c>
      <c r="G43" s="53" t="s">
        <v>287</v>
      </c>
      <c r="H43" s="53" t="s">
        <v>288</v>
      </c>
      <c r="I43" s="53" t="s">
        <v>289</v>
      </c>
      <c r="J43" s="53" t="s">
        <v>290</v>
      </c>
      <c r="K43" s="53" t="s">
        <v>291</v>
      </c>
      <c r="L43" s="53" t="str">
        <f>VLOOKUP(VLOOKUP(B43,'WaterHeater Technology'!$A$8:$S$103,18,FALSE),'CostModel Coef'!$B$8:$T$11,19,FALSE)</f>
        <v>Stor_EF</v>
      </c>
      <c r="M43" s="53" t="str">
        <f t="shared" si="0"/>
        <v>Stor_EF-Gas-050gal-0.62EF</v>
      </c>
      <c r="N43" s="53" t="s">
        <v>292</v>
      </c>
      <c r="O43" s="53" t="s">
        <v>293</v>
      </c>
      <c r="P43" s="53" t="s">
        <v>294</v>
      </c>
      <c r="Q43" s="53" t="s">
        <v>293</v>
      </c>
      <c r="R43" s="53" t="s">
        <v>293</v>
      </c>
      <c r="S43" s="53" t="s">
        <v>293</v>
      </c>
      <c r="T43" s="53" t="s">
        <v>293</v>
      </c>
      <c r="U43" s="53" t="s">
        <v>293</v>
      </c>
      <c r="V43" s="53" t="s">
        <v>295</v>
      </c>
      <c r="W43" s="53"/>
      <c r="X43" s="53"/>
      <c r="Y43" s="4">
        <f>ROUND(VLOOKUP(B43,'WaterHeater Technology'!$A$8:$AF$196,21,FALSE),0)</f>
        <v>750</v>
      </c>
      <c r="Z43" s="53"/>
      <c r="AA43" s="53"/>
      <c r="AB43" s="53"/>
      <c r="AC43" s="53" t="s">
        <v>296</v>
      </c>
      <c r="AD43" s="53" t="s">
        <v>297</v>
      </c>
      <c r="AE43" s="88" t="s">
        <v>298</v>
      </c>
      <c r="AF43" s="53"/>
      <c r="AG43" s="53" t="str">
        <f>"material costs only, includes contractor markup of "&amp;TEXT(INDEX('CostModel Coef'!$S$8:$S$11,VLOOKUP(B43,'WaterHeater Technology'!$A$8:$S$103,19,FALSE)),"00%")</f>
        <v>material costs only, includes contractor markup of 15%</v>
      </c>
    </row>
    <row r="44" spans="2:33">
      <c r="B44" s="53" t="s">
        <v>212</v>
      </c>
      <c r="C44" s="53" t="s">
        <v>284</v>
      </c>
      <c r="D44" s="53" t="s">
        <v>285</v>
      </c>
      <c r="E44" s="53" t="s">
        <v>286</v>
      </c>
      <c r="F44" s="29">
        <v>42229</v>
      </c>
      <c r="G44" s="53" t="s">
        <v>287</v>
      </c>
      <c r="H44" s="53" t="s">
        <v>288</v>
      </c>
      <c r="I44" s="53" t="s">
        <v>289</v>
      </c>
      <c r="J44" s="53" t="s">
        <v>290</v>
      </c>
      <c r="K44" s="53" t="s">
        <v>291</v>
      </c>
      <c r="L44" s="53" t="str">
        <f>VLOOKUP(VLOOKUP(B44,'WaterHeater Technology'!$A$8:$S$103,18,FALSE),'CostModel Coef'!$B$8:$T$11,19,FALSE)</f>
        <v>Stor_EF</v>
      </c>
      <c r="M44" s="53" t="str">
        <f t="shared" si="0"/>
        <v>Stor_EF-Gas-050gal-0.67EF</v>
      </c>
      <c r="N44" s="53" t="s">
        <v>292</v>
      </c>
      <c r="O44" s="53" t="s">
        <v>293</v>
      </c>
      <c r="P44" s="53" t="s">
        <v>294</v>
      </c>
      <c r="Q44" s="53" t="s">
        <v>293</v>
      </c>
      <c r="R44" s="53" t="s">
        <v>293</v>
      </c>
      <c r="S44" s="53" t="s">
        <v>293</v>
      </c>
      <c r="T44" s="53" t="s">
        <v>293</v>
      </c>
      <c r="U44" s="53" t="s">
        <v>293</v>
      </c>
      <c r="V44" s="53" t="s">
        <v>295</v>
      </c>
      <c r="W44" s="53"/>
      <c r="X44" s="53"/>
      <c r="Y44" s="4">
        <f>ROUND(VLOOKUP(B44,'WaterHeater Technology'!$A$8:$AF$196,21,FALSE),0)</f>
        <v>884</v>
      </c>
      <c r="Z44" s="53"/>
      <c r="AA44" s="53"/>
      <c r="AB44" s="53"/>
      <c r="AC44" s="53" t="s">
        <v>296</v>
      </c>
      <c r="AD44" s="53" t="s">
        <v>297</v>
      </c>
      <c r="AE44" s="88" t="s">
        <v>298</v>
      </c>
      <c r="AF44" s="53"/>
      <c r="AG44" s="53" t="str">
        <f>"material costs only, includes contractor markup of "&amp;TEXT(INDEX('CostModel Coef'!$S$8:$S$11,VLOOKUP(B44,'WaterHeater Technology'!$A$8:$S$103,19,FALSE)),"00%")</f>
        <v>material costs only, includes contractor markup of 15%</v>
      </c>
    </row>
    <row r="45" spans="2:33">
      <c r="B45" s="53" t="s">
        <v>214</v>
      </c>
      <c r="C45" s="53" t="s">
        <v>284</v>
      </c>
      <c r="D45" s="53" t="s">
        <v>285</v>
      </c>
      <c r="E45" s="53" t="s">
        <v>286</v>
      </c>
      <c r="F45" s="29">
        <v>42229</v>
      </c>
      <c r="G45" s="53" t="s">
        <v>287</v>
      </c>
      <c r="H45" s="53" t="s">
        <v>288</v>
      </c>
      <c r="I45" s="53" t="s">
        <v>289</v>
      </c>
      <c r="J45" s="53" t="s">
        <v>290</v>
      </c>
      <c r="K45" s="53" t="s">
        <v>291</v>
      </c>
      <c r="L45" s="53" t="str">
        <f>VLOOKUP(VLOOKUP(B45,'WaterHeater Technology'!$A$8:$S$103,18,FALSE),'CostModel Coef'!$B$8:$T$11,19,FALSE)</f>
        <v>Stor_EF</v>
      </c>
      <c r="M45" s="53" t="str">
        <f t="shared" si="0"/>
        <v>Stor_EF-Gas-050gal-0.70EF</v>
      </c>
      <c r="N45" s="53" t="s">
        <v>292</v>
      </c>
      <c r="O45" s="53" t="s">
        <v>293</v>
      </c>
      <c r="P45" s="53" t="s">
        <v>294</v>
      </c>
      <c r="Q45" s="53" t="s">
        <v>293</v>
      </c>
      <c r="R45" s="53" t="s">
        <v>293</v>
      </c>
      <c r="S45" s="53" t="s">
        <v>293</v>
      </c>
      <c r="T45" s="53" t="s">
        <v>293</v>
      </c>
      <c r="U45" s="53" t="s">
        <v>293</v>
      </c>
      <c r="V45" s="53" t="s">
        <v>295</v>
      </c>
      <c r="W45" s="53"/>
      <c r="X45" s="53"/>
      <c r="Y45" s="4">
        <f>ROUND(VLOOKUP(B45,'WaterHeater Technology'!$A$8:$AF$196,21,FALSE),0)</f>
        <v>964</v>
      </c>
      <c r="Z45" s="53"/>
      <c r="AA45" s="53"/>
      <c r="AB45" s="53"/>
      <c r="AC45" s="53" t="s">
        <v>296</v>
      </c>
      <c r="AD45" s="53" t="s">
        <v>297</v>
      </c>
      <c r="AE45" s="88" t="s">
        <v>298</v>
      </c>
      <c r="AF45" s="53"/>
      <c r="AG45" s="53" t="str">
        <f>"material costs only, includes contractor markup of "&amp;TEXT(INDEX('CostModel Coef'!$S$8:$S$11,VLOOKUP(B45,'WaterHeater Technology'!$A$8:$S$103,19,FALSE)),"00%")</f>
        <v>material costs only, includes contractor markup of 15%</v>
      </c>
    </row>
    <row r="46" spans="2:33">
      <c r="B46" s="53" t="s">
        <v>216</v>
      </c>
      <c r="C46" s="53" t="s">
        <v>284</v>
      </c>
      <c r="D46" s="53" t="s">
        <v>285</v>
      </c>
      <c r="E46" s="53" t="s">
        <v>286</v>
      </c>
      <c r="F46" s="29">
        <v>42229</v>
      </c>
      <c r="G46" s="53" t="s">
        <v>287</v>
      </c>
      <c r="H46" s="53" t="s">
        <v>288</v>
      </c>
      <c r="I46" s="53" t="s">
        <v>289</v>
      </c>
      <c r="J46" s="53" t="s">
        <v>290</v>
      </c>
      <c r="K46" s="53" t="s">
        <v>291</v>
      </c>
      <c r="L46" s="53" t="str">
        <f>VLOOKUP(VLOOKUP(B46,'WaterHeater Technology'!$A$8:$S$103,18,FALSE),'CostModel Coef'!$B$8:$T$11,19,FALSE)</f>
        <v>Stor_EF</v>
      </c>
      <c r="M46" s="53" t="str">
        <f t="shared" si="0"/>
        <v>Stor_EF-Gas-050gal-0.7EF</v>
      </c>
      <c r="N46" s="53" t="s">
        <v>292</v>
      </c>
      <c r="O46" s="53" t="s">
        <v>293</v>
      </c>
      <c r="P46" s="53" t="s">
        <v>294</v>
      </c>
      <c r="Q46" s="53" t="s">
        <v>293</v>
      </c>
      <c r="R46" s="53" t="s">
        <v>293</v>
      </c>
      <c r="S46" s="53" t="s">
        <v>293</v>
      </c>
      <c r="T46" s="53" t="s">
        <v>293</v>
      </c>
      <c r="U46" s="53" t="s">
        <v>293</v>
      </c>
      <c r="V46" s="53" t="s">
        <v>295</v>
      </c>
      <c r="W46" s="53"/>
      <c r="X46" s="53"/>
      <c r="Y46" s="4">
        <f>ROUND(VLOOKUP(B46,'WaterHeater Technology'!$A$8:$AF$196,21,FALSE),0)</f>
        <v>964</v>
      </c>
      <c r="Z46" s="53"/>
      <c r="AA46" s="53"/>
      <c r="AB46" s="53"/>
      <c r="AC46" s="53" t="s">
        <v>296</v>
      </c>
      <c r="AD46" s="53" t="s">
        <v>297</v>
      </c>
      <c r="AE46" s="88" t="s">
        <v>298</v>
      </c>
      <c r="AF46" s="53"/>
      <c r="AG46" s="53" t="str">
        <f>"material costs only, includes contractor markup of "&amp;TEXT(INDEX('CostModel Coef'!$S$8:$S$11,VLOOKUP(B46,'WaterHeater Technology'!$A$8:$S$103,19,FALSE)),"00%")</f>
        <v>material costs only, includes contractor markup of 15%</v>
      </c>
    </row>
    <row r="47" spans="2:33">
      <c r="B47" s="53" t="s">
        <v>219</v>
      </c>
      <c r="C47" s="53" t="s">
        <v>284</v>
      </c>
      <c r="D47" s="53" t="s">
        <v>285</v>
      </c>
      <c r="E47" s="53" t="s">
        <v>286</v>
      </c>
      <c r="F47" s="29">
        <v>42229</v>
      </c>
      <c r="G47" s="53" t="s">
        <v>287</v>
      </c>
      <c r="H47" s="53" t="s">
        <v>288</v>
      </c>
      <c r="I47" s="53" t="s">
        <v>289</v>
      </c>
      <c r="J47" s="53" t="s">
        <v>290</v>
      </c>
      <c r="K47" s="53" t="s">
        <v>291</v>
      </c>
      <c r="L47" s="53" t="str">
        <f>VLOOKUP(VLOOKUP(B47,'WaterHeater Technology'!$A$8:$S$103,18,FALSE),'CostModel Coef'!$B$8:$T$11,19,FALSE)</f>
        <v>Stor_EF</v>
      </c>
      <c r="M47" s="53" t="str">
        <f t="shared" si="0"/>
        <v>Stor_EF-Gas-060gal-0.56EF</v>
      </c>
      <c r="N47" s="53" t="s">
        <v>292</v>
      </c>
      <c r="O47" s="53" t="s">
        <v>293</v>
      </c>
      <c r="P47" s="53" t="s">
        <v>294</v>
      </c>
      <c r="Q47" s="53" t="s">
        <v>293</v>
      </c>
      <c r="R47" s="53" t="s">
        <v>293</v>
      </c>
      <c r="S47" s="53" t="s">
        <v>293</v>
      </c>
      <c r="T47" s="53" t="s">
        <v>293</v>
      </c>
      <c r="U47" s="53" t="s">
        <v>293</v>
      </c>
      <c r="V47" s="53" t="s">
        <v>295</v>
      </c>
      <c r="W47" s="53"/>
      <c r="X47" s="53"/>
      <c r="Y47" s="4">
        <f>ROUND(VLOOKUP(B47,'WaterHeater Technology'!$A$8:$AF$196,21,FALSE),0)</f>
        <v>682</v>
      </c>
      <c r="Z47" s="53"/>
      <c r="AA47" s="53"/>
      <c r="AB47" s="53"/>
      <c r="AC47" s="53" t="s">
        <v>296</v>
      </c>
      <c r="AD47" s="53" t="s">
        <v>297</v>
      </c>
      <c r="AE47" s="88" t="s">
        <v>298</v>
      </c>
      <c r="AF47" s="53"/>
      <c r="AG47" s="53" t="str">
        <f>"material costs only, includes contractor markup of "&amp;TEXT(INDEX('CostModel Coef'!$S$8:$S$11,VLOOKUP(B47,'WaterHeater Technology'!$A$8:$S$103,19,FALSE)),"00%")</f>
        <v>material costs only, includes contractor markup of 15%</v>
      </c>
    </row>
    <row r="48" spans="2:33">
      <c r="B48" s="53" t="s">
        <v>221</v>
      </c>
      <c r="C48" s="53" t="s">
        <v>284</v>
      </c>
      <c r="D48" s="53" t="s">
        <v>285</v>
      </c>
      <c r="E48" s="53" t="s">
        <v>286</v>
      </c>
      <c r="F48" s="29">
        <v>42229</v>
      </c>
      <c r="G48" s="53" t="s">
        <v>287</v>
      </c>
      <c r="H48" s="53" t="s">
        <v>288</v>
      </c>
      <c r="I48" s="53" t="s">
        <v>289</v>
      </c>
      <c r="J48" s="53" t="s">
        <v>290</v>
      </c>
      <c r="K48" s="53" t="s">
        <v>291</v>
      </c>
      <c r="L48" s="53" t="str">
        <f>VLOOKUP(VLOOKUP(B48,'WaterHeater Technology'!$A$8:$S$103,18,FALSE),'CostModel Coef'!$B$8:$T$11,19,FALSE)</f>
        <v>Stor_EF</v>
      </c>
      <c r="M48" s="53" t="str">
        <f t="shared" si="0"/>
        <v>Stor_EF-Gas-060gal-0.62EF</v>
      </c>
      <c r="N48" s="53" t="s">
        <v>292</v>
      </c>
      <c r="O48" s="53" t="s">
        <v>293</v>
      </c>
      <c r="P48" s="53" t="s">
        <v>294</v>
      </c>
      <c r="Q48" s="53" t="s">
        <v>293</v>
      </c>
      <c r="R48" s="53" t="s">
        <v>293</v>
      </c>
      <c r="S48" s="53" t="s">
        <v>293</v>
      </c>
      <c r="T48" s="53" t="s">
        <v>293</v>
      </c>
      <c r="U48" s="53" t="s">
        <v>293</v>
      </c>
      <c r="V48" s="53" t="s">
        <v>295</v>
      </c>
      <c r="W48" s="53"/>
      <c r="X48" s="53"/>
      <c r="Y48" s="4">
        <f>ROUND(VLOOKUP(B48,'WaterHeater Technology'!$A$8:$AF$196,21,FALSE),0)</f>
        <v>854</v>
      </c>
      <c r="Z48" s="53"/>
      <c r="AA48" s="53"/>
      <c r="AB48" s="53"/>
      <c r="AC48" s="53" t="s">
        <v>296</v>
      </c>
      <c r="AD48" s="53" t="s">
        <v>297</v>
      </c>
      <c r="AE48" s="88" t="s">
        <v>298</v>
      </c>
      <c r="AF48" s="53"/>
      <c r="AG48" s="53" t="str">
        <f>"material costs only, includes contractor markup of "&amp;TEXT(INDEX('CostModel Coef'!$S$8:$S$11,VLOOKUP(B48,'WaterHeater Technology'!$A$8:$S$103,19,FALSE)),"00%")</f>
        <v>material costs only, includes contractor markup of 15%</v>
      </c>
    </row>
    <row r="49" spans="2:33">
      <c r="B49" s="53" t="s">
        <v>223</v>
      </c>
      <c r="C49" s="53" t="s">
        <v>284</v>
      </c>
      <c r="D49" s="53" t="s">
        <v>285</v>
      </c>
      <c r="E49" s="53" t="s">
        <v>286</v>
      </c>
      <c r="F49" s="29">
        <v>42229</v>
      </c>
      <c r="G49" s="53" t="s">
        <v>287</v>
      </c>
      <c r="H49" s="53" t="s">
        <v>288</v>
      </c>
      <c r="I49" s="53" t="s">
        <v>289</v>
      </c>
      <c r="J49" s="53" t="s">
        <v>290</v>
      </c>
      <c r="K49" s="53" t="s">
        <v>291</v>
      </c>
      <c r="L49" s="53" t="str">
        <f>VLOOKUP(VLOOKUP(B49,'WaterHeater Technology'!$A$8:$S$103,18,FALSE),'CostModel Coef'!$B$8:$T$11,19,FALSE)</f>
        <v>Stor_EF</v>
      </c>
      <c r="M49" s="53" t="str">
        <f t="shared" si="0"/>
        <v>Stor_EF-Gas-060gal-0.66EF</v>
      </c>
      <c r="N49" s="53" t="s">
        <v>292</v>
      </c>
      <c r="O49" s="53" t="s">
        <v>293</v>
      </c>
      <c r="P49" s="53" t="s">
        <v>294</v>
      </c>
      <c r="Q49" s="53" t="s">
        <v>293</v>
      </c>
      <c r="R49" s="53" t="s">
        <v>293</v>
      </c>
      <c r="S49" s="53" t="s">
        <v>293</v>
      </c>
      <c r="T49" s="53" t="s">
        <v>293</v>
      </c>
      <c r="U49" s="53" t="s">
        <v>293</v>
      </c>
      <c r="V49" s="53" t="s">
        <v>295</v>
      </c>
      <c r="W49" s="53"/>
      <c r="X49" s="53"/>
      <c r="Y49" s="4">
        <f>ROUND(VLOOKUP(B49,'WaterHeater Technology'!$A$8:$AF$196,21,FALSE),0)</f>
        <v>961</v>
      </c>
      <c r="Z49" s="53"/>
      <c r="AA49" s="53"/>
      <c r="AB49" s="53"/>
      <c r="AC49" s="53" t="s">
        <v>296</v>
      </c>
      <c r="AD49" s="53" t="s">
        <v>297</v>
      </c>
      <c r="AE49" s="88" t="s">
        <v>298</v>
      </c>
      <c r="AF49" s="53"/>
      <c r="AG49" s="53" t="str">
        <f>"material costs only, includes contractor markup of "&amp;TEXT(INDEX('CostModel Coef'!$S$8:$S$11,VLOOKUP(B49,'WaterHeater Technology'!$A$8:$S$103,19,FALSE)),"00%")</f>
        <v>material costs only, includes contractor markup of 15%</v>
      </c>
    </row>
    <row r="50" spans="2:33">
      <c r="B50" s="53" t="s">
        <v>229</v>
      </c>
      <c r="C50" s="53" t="s">
        <v>284</v>
      </c>
      <c r="D50" s="53" t="s">
        <v>285</v>
      </c>
      <c r="E50" s="53" t="s">
        <v>286</v>
      </c>
      <c r="F50" s="29">
        <v>42229</v>
      </c>
      <c r="G50" s="53" t="s">
        <v>287</v>
      </c>
      <c r="H50" s="53" t="s">
        <v>288</v>
      </c>
      <c r="I50" s="53" t="s">
        <v>289</v>
      </c>
      <c r="J50" s="53" t="s">
        <v>290</v>
      </c>
      <c r="K50" s="53" t="s">
        <v>291</v>
      </c>
      <c r="L50" s="53" t="str">
        <f>VLOOKUP(VLOOKUP(B50,'WaterHeater Technology'!$A$8:$S$103,18,FALSE),'CostModel Coef'!$B$8:$T$11,19,FALSE)</f>
        <v>Stor_EF</v>
      </c>
      <c r="M50" s="53" t="str">
        <f t="shared" si="0"/>
        <v>Stor_EF-Gas-060gal-0.7EF</v>
      </c>
      <c r="N50" s="53" t="s">
        <v>292</v>
      </c>
      <c r="O50" s="53" t="s">
        <v>293</v>
      </c>
      <c r="P50" s="53" t="s">
        <v>294</v>
      </c>
      <c r="Q50" s="53" t="s">
        <v>293</v>
      </c>
      <c r="R50" s="53" t="s">
        <v>293</v>
      </c>
      <c r="S50" s="53" t="s">
        <v>293</v>
      </c>
      <c r="T50" s="53" t="s">
        <v>293</v>
      </c>
      <c r="U50" s="53" t="s">
        <v>293</v>
      </c>
      <c r="V50" s="53" t="s">
        <v>295</v>
      </c>
      <c r="W50" s="53"/>
      <c r="X50" s="53"/>
      <c r="Y50" s="4">
        <f>ROUND(VLOOKUP(B50,'WaterHeater Technology'!$A$8:$AF$196,21,FALSE),0)</f>
        <v>1069</v>
      </c>
      <c r="Z50" s="53"/>
      <c r="AA50" s="53"/>
      <c r="AB50" s="53"/>
      <c r="AC50" s="53" t="s">
        <v>296</v>
      </c>
      <c r="AD50" s="53" t="s">
        <v>297</v>
      </c>
      <c r="AE50" s="88" t="s">
        <v>298</v>
      </c>
      <c r="AF50" s="53"/>
      <c r="AG50" s="53" t="str">
        <f>"material costs only, includes contractor markup of "&amp;TEXT(INDEX('CostModel Coef'!$S$8:$S$11,VLOOKUP(B50,'WaterHeater Technology'!$A$8:$S$103,19,FALSE)),"00%")</f>
        <v>material costs only, includes contractor markup of 15%</v>
      </c>
    </row>
    <row r="66" spans="2:35">
      <c r="B66" s="53"/>
      <c r="C66" s="53"/>
      <c r="D66" s="53"/>
      <c r="E66" s="53"/>
      <c r="F66" s="53"/>
      <c r="G66" s="53"/>
      <c r="H66" s="4"/>
      <c r="I66" s="53"/>
      <c r="J66" s="53"/>
      <c r="K66" s="53"/>
      <c r="L66" s="53"/>
      <c r="M66" s="53"/>
      <c r="N66" s="29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</row>
    <row r="67" spans="2:35">
      <c r="B67" s="53"/>
      <c r="C67" s="53"/>
      <c r="D67" s="53"/>
      <c r="E67" s="53"/>
      <c r="F67" s="53"/>
      <c r="G67" s="53"/>
      <c r="H67" s="4"/>
      <c r="I67" s="53"/>
      <c r="J67" s="53"/>
      <c r="K67" s="53"/>
      <c r="L67" s="53"/>
      <c r="M67" s="53"/>
      <c r="N67" s="29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</row>
    <row r="68" spans="2:35">
      <c r="B68" s="53"/>
      <c r="C68" s="53"/>
      <c r="D68" s="53"/>
      <c r="E68" s="53"/>
      <c r="F68" s="53"/>
      <c r="G68" s="53"/>
      <c r="H68" s="4"/>
      <c r="I68" s="53"/>
      <c r="J68" s="53"/>
      <c r="K68" s="53"/>
      <c r="L68" s="53"/>
      <c r="M68" s="53"/>
      <c r="N68" s="29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</row>
    <row r="69" spans="2:35">
      <c r="B69" s="53"/>
      <c r="C69" s="53"/>
      <c r="D69" s="53"/>
      <c r="E69" s="53"/>
      <c r="F69" s="53"/>
      <c r="G69" s="53"/>
      <c r="H69" s="4"/>
      <c r="I69" s="53"/>
      <c r="J69" s="53"/>
      <c r="K69" s="53"/>
      <c r="L69" s="53"/>
      <c r="M69" s="53"/>
      <c r="N69" s="29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</row>
    <row r="70" spans="2:35">
      <c r="B70" s="53"/>
      <c r="C70" s="53"/>
      <c r="D70" s="53"/>
      <c r="E70" s="53"/>
      <c r="F70" s="53"/>
      <c r="G70" s="53"/>
      <c r="H70" s="4"/>
      <c r="I70" s="53"/>
      <c r="J70" s="53"/>
      <c r="K70" s="53"/>
      <c r="L70" s="53"/>
      <c r="M70" s="53"/>
      <c r="N70" s="29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</row>
    <row r="71" spans="2:35">
      <c r="B71" s="53"/>
      <c r="C71" s="53"/>
      <c r="D71" s="53"/>
      <c r="E71" s="53"/>
      <c r="F71" s="53"/>
      <c r="G71" s="53"/>
      <c r="H71" s="4"/>
      <c r="I71" s="53"/>
      <c r="J71" s="53"/>
      <c r="K71" s="53"/>
      <c r="L71" s="53"/>
      <c r="M71" s="53"/>
      <c r="N71" s="29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</row>
    <row r="72" spans="2:35">
      <c r="B72" s="53"/>
      <c r="C72" s="53"/>
      <c r="D72" s="53"/>
      <c r="E72" s="53"/>
      <c r="F72" s="53"/>
      <c r="G72" s="53"/>
      <c r="H72" s="4"/>
      <c r="I72" s="53"/>
      <c r="J72" s="53"/>
      <c r="K72" s="53"/>
      <c r="L72" s="53"/>
      <c r="M72" s="53"/>
      <c r="N72" s="29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</row>
    <row r="73" spans="2:35">
      <c r="B73" s="53"/>
      <c r="C73" s="53"/>
      <c r="D73" s="53"/>
      <c r="E73" s="53"/>
      <c r="F73" s="53"/>
      <c r="G73" s="53"/>
      <c r="H73" s="4"/>
      <c r="I73" s="53"/>
      <c r="J73" s="53"/>
      <c r="K73" s="53"/>
      <c r="L73" s="53"/>
      <c r="M73" s="53"/>
      <c r="N73" s="29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</row>
    <row r="74" spans="2:35">
      <c r="B74" s="53"/>
      <c r="C74" s="53"/>
      <c r="D74" s="53"/>
      <c r="E74" s="53"/>
      <c r="F74" s="53"/>
      <c r="G74" s="53"/>
      <c r="H74" s="4"/>
      <c r="I74" s="53"/>
      <c r="J74" s="53"/>
      <c r="K74" s="53"/>
      <c r="L74" s="53"/>
      <c r="M74" s="53"/>
      <c r="N74" s="29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</row>
    <row r="75" spans="2:35">
      <c r="B75" s="53"/>
      <c r="C75" s="53"/>
      <c r="D75" s="53"/>
      <c r="E75" s="53"/>
      <c r="F75" s="53"/>
      <c r="G75" s="53"/>
      <c r="H75" s="4"/>
      <c r="I75" s="53"/>
      <c r="J75" s="53"/>
      <c r="K75" s="53"/>
      <c r="L75" s="53"/>
      <c r="M75" s="53"/>
      <c r="N75" s="29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</row>
    <row r="76" spans="2:35">
      <c r="B76" s="53"/>
      <c r="C76" s="53"/>
      <c r="D76" s="53"/>
      <c r="E76" s="53"/>
      <c r="F76" s="53"/>
      <c r="G76" s="53"/>
      <c r="H76" s="4"/>
      <c r="I76" s="53"/>
      <c r="J76" s="53"/>
      <c r="K76" s="53"/>
      <c r="L76" s="53"/>
      <c r="M76" s="53"/>
      <c r="N76" s="29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</row>
    <row r="77" spans="2:35">
      <c r="B77" s="53"/>
      <c r="C77" s="53"/>
      <c r="D77" s="53"/>
      <c r="E77" s="53"/>
      <c r="F77" s="53"/>
      <c r="G77" s="53"/>
      <c r="H77" s="4"/>
      <c r="I77" s="53"/>
      <c r="J77" s="53"/>
      <c r="K77" s="53"/>
      <c r="L77" s="53"/>
      <c r="M77" s="53"/>
      <c r="N77" s="29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</row>
    <row r="78" spans="2:35">
      <c r="B78" s="53"/>
      <c r="C78" s="53"/>
      <c r="D78" s="53"/>
      <c r="E78" s="53"/>
      <c r="F78" s="53"/>
      <c r="G78" s="53"/>
      <c r="H78" s="4"/>
      <c r="I78" s="53"/>
      <c r="J78" s="53"/>
      <c r="K78" s="53"/>
      <c r="L78" s="53"/>
      <c r="M78" s="53"/>
      <c r="N78" s="29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</row>
    <row r="79" spans="2:35">
      <c r="B79" s="53"/>
      <c r="C79" s="53"/>
      <c r="D79" s="53"/>
      <c r="E79" s="53"/>
      <c r="F79" s="53"/>
      <c r="G79" s="53"/>
      <c r="H79" s="4"/>
      <c r="I79" s="53"/>
      <c r="J79" s="53"/>
      <c r="K79" s="53"/>
      <c r="L79" s="53"/>
      <c r="M79" s="53"/>
      <c r="N79" s="29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</row>
    <row r="80" spans="2:35">
      <c r="B80" s="53"/>
      <c r="C80" s="53"/>
      <c r="D80" s="53"/>
      <c r="E80" s="53"/>
      <c r="F80" s="53"/>
      <c r="G80" s="53"/>
      <c r="H80" s="4"/>
      <c r="I80" s="53"/>
      <c r="J80" s="53"/>
      <c r="K80" s="53"/>
      <c r="L80" s="53"/>
      <c r="M80" s="53"/>
      <c r="N80" s="29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</row>
    <row r="81" spans="2:35">
      <c r="B81" s="53"/>
      <c r="C81" s="53"/>
      <c r="D81" s="53"/>
      <c r="E81" s="53"/>
      <c r="F81" s="53"/>
      <c r="G81" s="53"/>
      <c r="H81" s="4"/>
      <c r="I81" s="53"/>
      <c r="J81" s="53"/>
      <c r="K81" s="53"/>
      <c r="L81" s="53"/>
      <c r="M81" s="53"/>
      <c r="N81" s="29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</row>
    <row r="82" spans="2:35">
      <c r="B82" s="53"/>
      <c r="C82" s="53"/>
      <c r="D82" s="53"/>
      <c r="E82" s="53"/>
      <c r="F82" s="53"/>
      <c r="G82" s="53"/>
      <c r="H82" s="4"/>
      <c r="I82" s="53"/>
      <c r="J82" s="53"/>
      <c r="K82" s="53"/>
      <c r="L82" s="53"/>
      <c r="M82" s="53"/>
      <c r="N82" s="29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</row>
    <row r="83" spans="2:35">
      <c r="B83" s="53"/>
      <c r="C83" s="53"/>
      <c r="D83" s="53"/>
      <c r="E83" s="53"/>
      <c r="F83" s="53"/>
      <c r="G83" s="53"/>
      <c r="H83" s="4"/>
      <c r="I83" s="53"/>
      <c r="J83" s="53"/>
      <c r="K83" s="53"/>
      <c r="L83" s="53"/>
      <c r="M83" s="53"/>
      <c r="N83" s="29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</row>
    <row r="84" spans="2:35">
      <c r="B84" s="53"/>
      <c r="C84" s="53"/>
      <c r="D84" s="53"/>
      <c r="E84" s="53"/>
      <c r="F84" s="53"/>
      <c r="G84" s="53"/>
      <c r="H84" s="4"/>
      <c r="I84" s="53"/>
      <c r="J84" s="53"/>
      <c r="K84" s="53"/>
      <c r="L84" s="53"/>
      <c r="M84" s="53"/>
      <c r="N84" s="29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</row>
    <row r="85" spans="2:35">
      <c r="B85" s="53"/>
      <c r="C85" s="53"/>
      <c r="D85" s="53"/>
      <c r="E85" s="53"/>
      <c r="F85" s="53"/>
      <c r="G85" s="53"/>
      <c r="H85" s="4"/>
      <c r="I85" s="53"/>
      <c r="J85" s="53"/>
      <c r="K85" s="53"/>
      <c r="L85" s="53"/>
      <c r="M85" s="53"/>
      <c r="N85" s="29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</row>
    <row r="86" spans="2:35">
      <c r="B86" s="53"/>
      <c r="C86" s="53"/>
      <c r="D86" s="53"/>
      <c r="E86" s="53"/>
      <c r="F86" s="53"/>
      <c r="G86" s="53"/>
      <c r="H86" s="4"/>
      <c r="I86" s="53"/>
      <c r="J86" s="53"/>
      <c r="K86" s="53"/>
      <c r="L86" s="53"/>
      <c r="M86" s="53"/>
      <c r="N86" s="29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</row>
    <row r="87" spans="2:35">
      <c r="B87" s="53"/>
      <c r="C87" s="53"/>
      <c r="D87" s="53"/>
      <c r="E87" s="53"/>
      <c r="F87" s="53"/>
      <c r="G87" s="53"/>
      <c r="H87" s="4"/>
      <c r="I87" s="53"/>
      <c r="J87" s="53"/>
      <c r="K87" s="53"/>
      <c r="L87" s="53"/>
      <c r="M87" s="53"/>
      <c r="N87" s="29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</row>
    <row r="88" spans="2:35">
      <c r="B88" s="53"/>
      <c r="C88" s="53"/>
      <c r="D88" s="53"/>
      <c r="E88" s="53"/>
      <c r="F88" s="53"/>
      <c r="G88" s="53"/>
      <c r="H88" s="4"/>
      <c r="I88" s="53"/>
      <c r="J88" s="53"/>
      <c r="K88" s="53"/>
      <c r="L88" s="53"/>
      <c r="M88" s="53"/>
      <c r="N88" s="29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</row>
    <row r="89" spans="2:35">
      <c r="B89" s="53"/>
      <c r="C89" s="53"/>
      <c r="D89" s="53"/>
      <c r="E89" s="53"/>
      <c r="F89" s="53"/>
      <c r="G89" s="53"/>
      <c r="H89" s="4"/>
      <c r="I89" s="53"/>
      <c r="J89" s="53"/>
      <c r="K89" s="53"/>
      <c r="L89" s="53"/>
      <c r="M89" s="53"/>
      <c r="N89" s="29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</row>
    <row r="90" spans="2:35">
      <c r="B90" s="53"/>
      <c r="C90" s="53"/>
      <c r="D90" s="53"/>
      <c r="E90" s="53"/>
      <c r="F90" s="53"/>
      <c r="G90" s="53"/>
      <c r="H90" s="4"/>
      <c r="I90" s="53"/>
      <c r="J90" s="53"/>
      <c r="K90" s="53"/>
      <c r="L90" s="53"/>
      <c r="M90" s="53"/>
      <c r="N90" s="29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</row>
    <row r="91" spans="2:35">
      <c r="B91" s="53"/>
      <c r="C91" s="53"/>
      <c r="D91" s="53"/>
      <c r="E91" s="53"/>
      <c r="F91" s="53"/>
      <c r="G91" s="53"/>
      <c r="H91" s="4"/>
      <c r="I91" s="53"/>
      <c r="J91" s="53"/>
      <c r="K91" s="53"/>
      <c r="L91" s="53"/>
      <c r="M91" s="53"/>
      <c r="N91" s="29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</row>
    <row r="92" spans="2:35">
      <c r="B92" s="53"/>
      <c r="C92" s="53"/>
      <c r="D92" s="53"/>
      <c r="E92" s="53"/>
      <c r="F92" s="53"/>
      <c r="G92" s="53"/>
      <c r="H92" s="4"/>
      <c r="I92" s="53"/>
      <c r="J92" s="53"/>
      <c r="K92" s="53"/>
      <c r="L92" s="53"/>
      <c r="M92" s="53"/>
      <c r="N92" s="29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</row>
    <row r="93" spans="2:35">
      <c r="B93" s="53"/>
      <c r="C93" s="53"/>
      <c r="D93" s="53"/>
      <c r="E93" s="53"/>
      <c r="F93" s="53"/>
      <c r="G93" s="53"/>
      <c r="H93" s="4"/>
      <c r="I93" s="53"/>
      <c r="J93" s="53"/>
      <c r="K93" s="53"/>
      <c r="L93" s="53"/>
      <c r="M93" s="53"/>
      <c r="N93" s="29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</row>
    <row r="94" spans="2:35">
      <c r="B94" s="53"/>
      <c r="C94" s="53"/>
      <c r="D94" s="53"/>
      <c r="E94" s="53"/>
      <c r="F94" s="53"/>
      <c r="G94" s="53"/>
      <c r="H94" s="4"/>
      <c r="I94" s="53"/>
      <c r="J94" s="53"/>
      <c r="K94" s="53"/>
      <c r="L94" s="53"/>
      <c r="M94" s="53"/>
      <c r="N94" s="29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</row>
    <row r="95" spans="2:35">
      <c r="B95" s="53"/>
      <c r="C95" s="53"/>
      <c r="D95" s="53"/>
      <c r="E95" s="53"/>
      <c r="F95" s="53"/>
      <c r="G95" s="53"/>
      <c r="H95" s="4"/>
      <c r="I95" s="53"/>
      <c r="J95" s="53"/>
      <c r="K95" s="53"/>
      <c r="L95" s="53"/>
      <c r="M95" s="53"/>
      <c r="N95" s="29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</row>
    <row r="96" spans="2:35">
      <c r="B96" s="53"/>
      <c r="C96" s="53"/>
      <c r="D96" s="53"/>
      <c r="E96" s="53"/>
      <c r="F96" s="53"/>
      <c r="G96" s="53"/>
      <c r="H96" s="4"/>
      <c r="I96" s="53"/>
      <c r="J96" s="53"/>
      <c r="K96" s="53"/>
      <c r="L96" s="53"/>
      <c r="M96" s="53"/>
      <c r="N96" s="29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</row>
    <row r="97" spans="2:52">
      <c r="B97" s="53"/>
      <c r="C97" s="53"/>
      <c r="D97" s="53"/>
      <c r="E97" s="53"/>
      <c r="F97" s="53"/>
      <c r="G97" s="53"/>
      <c r="H97" s="4"/>
      <c r="I97" s="53"/>
      <c r="J97" s="53"/>
      <c r="K97" s="53"/>
      <c r="L97" s="53"/>
      <c r="M97" s="53"/>
      <c r="N97" s="29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</row>
    <row r="98" spans="2:52">
      <c r="B98" s="53"/>
      <c r="C98" s="53"/>
      <c r="D98" s="53"/>
      <c r="E98" s="53"/>
      <c r="F98" s="53"/>
      <c r="G98" s="53"/>
      <c r="H98" s="4"/>
      <c r="I98" s="53"/>
      <c r="J98" s="53"/>
      <c r="K98" s="53"/>
      <c r="L98" s="53"/>
      <c r="M98" s="53"/>
      <c r="N98" s="29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</row>
    <row r="99" spans="2:52">
      <c r="B99" s="53"/>
      <c r="C99" s="53"/>
      <c r="D99" s="53"/>
      <c r="E99" s="53"/>
      <c r="F99" s="53"/>
      <c r="G99" s="53"/>
      <c r="H99" s="4"/>
      <c r="I99" s="53"/>
      <c r="J99" s="53"/>
      <c r="K99" s="53"/>
      <c r="L99" s="53"/>
      <c r="M99" s="53"/>
      <c r="N99" s="29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</row>
    <row r="100" spans="2:52">
      <c r="B100" s="53"/>
      <c r="C100" s="53"/>
      <c r="D100" s="53"/>
      <c r="E100" s="53"/>
      <c r="F100" s="53"/>
      <c r="G100" s="53"/>
      <c r="H100" s="4"/>
      <c r="I100" s="53"/>
      <c r="J100" s="53"/>
      <c r="K100" s="53"/>
      <c r="L100" s="53"/>
      <c r="M100" s="53"/>
      <c r="N100" s="29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</row>
    <row r="101" spans="2:52">
      <c r="B101" s="53"/>
      <c r="C101" s="53"/>
      <c r="D101" s="53"/>
      <c r="E101" s="53"/>
      <c r="F101" s="53"/>
      <c r="G101" s="53"/>
      <c r="H101" s="4"/>
      <c r="I101" s="53"/>
      <c r="J101" s="53"/>
      <c r="K101" s="53"/>
      <c r="L101" s="53"/>
      <c r="M101" s="53"/>
      <c r="N101" s="29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</row>
    <row r="102" spans="2:52">
      <c r="B102" s="53"/>
      <c r="C102" s="53"/>
      <c r="D102" s="53"/>
      <c r="E102" s="53"/>
      <c r="F102" s="53"/>
      <c r="G102" s="53"/>
      <c r="H102" s="4"/>
      <c r="I102" s="53"/>
      <c r="J102" s="53"/>
      <c r="K102" s="53"/>
      <c r="L102" s="53"/>
      <c r="M102" s="53"/>
      <c r="N102" s="29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</row>
    <row r="103" spans="2:52">
      <c r="B103" s="53"/>
      <c r="C103" s="53"/>
      <c r="D103" s="53"/>
      <c r="E103" s="53"/>
      <c r="F103" s="53"/>
      <c r="G103" s="53"/>
      <c r="H103" s="4"/>
      <c r="I103" s="53"/>
      <c r="J103" s="53"/>
      <c r="K103" s="53"/>
      <c r="L103" s="53"/>
      <c r="M103" s="53"/>
      <c r="N103" s="29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</row>
    <row r="104" spans="2:52">
      <c r="B104" s="53"/>
      <c r="C104" s="53"/>
      <c r="D104" s="53"/>
      <c r="E104" s="53"/>
      <c r="F104" s="53"/>
      <c r="G104" s="53"/>
      <c r="H104" s="4"/>
      <c r="I104" s="53"/>
      <c r="J104" s="53"/>
      <c r="K104" s="53"/>
      <c r="L104" s="53"/>
      <c r="M104" s="53"/>
      <c r="N104" s="29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</row>
    <row r="105" spans="2:52">
      <c r="B105" s="53"/>
      <c r="C105" s="53"/>
      <c r="D105" s="53"/>
      <c r="E105" s="53"/>
      <c r="F105" s="29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4"/>
      <c r="Z105" s="53"/>
      <c r="AA105" s="53"/>
      <c r="AB105" s="53"/>
      <c r="AC105" s="53"/>
      <c r="AD105" s="53"/>
      <c r="AE105" s="29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</row>
    <row r="106" spans="2:52">
      <c r="B106" s="53"/>
      <c r="C106" s="53"/>
      <c r="D106" s="53"/>
      <c r="E106" s="53"/>
      <c r="F106" s="29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4"/>
      <c r="Z106" s="53"/>
      <c r="AA106" s="53"/>
      <c r="AB106" s="53"/>
      <c r="AC106" s="53"/>
      <c r="AD106" s="53"/>
      <c r="AE106" s="29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</row>
    <row r="107" spans="2:52">
      <c r="B107" s="53"/>
      <c r="C107" s="53"/>
      <c r="D107" s="53"/>
      <c r="E107" s="53"/>
      <c r="F107" s="29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4"/>
      <c r="Z107" s="53"/>
      <c r="AA107" s="53"/>
      <c r="AB107" s="53"/>
      <c r="AC107" s="53"/>
      <c r="AD107" s="53"/>
      <c r="AE107" s="29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</row>
    <row r="108" spans="2:52">
      <c r="B108" s="53"/>
      <c r="C108" s="53"/>
      <c r="D108" s="53"/>
      <c r="E108" s="53"/>
      <c r="F108" s="29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4"/>
      <c r="Z108" s="53"/>
      <c r="AA108" s="53"/>
      <c r="AB108" s="53"/>
      <c r="AC108" s="53"/>
      <c r="AD108" s="53"/>
      <c r="AE108" s="29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</row>
    <row r="109" spans="2:52">
      <c r="B109" s="53"/>
      <c r="C109" s="53"/>
      <c r="D109" s="53"/>
      <c r="E109" s="53"/>
      <c r="F109" s="29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4"/>
      <c r="Z109" s="53"/>
      <c r="AA109" s="53"/>
      <c r="AB109" s="53"/>
      <c r="AC109" s="53"/>
      <c r="AD109" s="53"/>
      <c r="AE109" s="29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</row>
    <row r="110" spans="2:52">
      <c r="B110" s="53"/>
      <c r="C110" s="53"/>
      <c r="D110" s="53"/>
      <c r="E110" s="53"/>
      <c r="F110" s="29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4"/>
      <c r="Z110" s="53"/>
      <c r="AA110" s="53"/>
      <c r="AB110" s="53"/>
      <c r="AC110" s="53"/>
      <c r="AD110" s="53"/>
      <c r="AE110" s="29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</row>
    <row r="111" spans="2:52">
      <c r="B111" s="53"/>
      <c r="C111" s="53"/>
      <c r="D111" s="53"/>
      <c r="E111" s="53"/>
      <c r="F111" s="29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4"/>
      <c r="Z111" s="53"/>
      <c r="AA111" s="53"/>
      <c r="AB111" s="53"/>
      <c r="AC111" s="53"/>
      <c r="AD111" s="53"/>
      <c r="AE111" s="29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</row>
    <row r="112" spans="2:52">
      <c r="B112" s="53"/>
      <c r="C112" s="53"/>
      <c r="D112" s="53"/>
      <c r="E112" s="53"/>
      <c r="F112" s="29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4"/>
      <c r="Z112" s="53"/>
      <c r="AA112" s="53"/>
      <c r="AB112" s="53"/>
      <c r="AC112" s="53"/>
      <c r="AD112" s="53"/>
      <c r="AE112" s="29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</row>
    <row r="113" spans="2:53">
      <c r="B113" s="53"/>
      <c r="C113" s="53"/>
      <c r="D113" s="53"/>
      <c r="E113" s="53"/>
      <c r="F113" s="29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4"/>
      <c r="Z113" s="53"/>
      <c r="AA113" s="53"/>
      <c r="AB113" s="53"/>
      <c r="AC113" s="53"/>
      <c r="AD113" s="53"/>
      <c r="AE113" s="29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</row>
    <row r="114" spans="2:53">
      <c r="B114" s="53"/>
      <c r="C114" s="53"/>
      <c r="D114" s="53"/>
      <c r="E114" s="53"/>
      <c r="F114" s="29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4"/>
      <c r="Z114" s="53"/>
      <c r="AA114" s="53"/>
      <c r="AB114" s="53"/>
      <c r="AC114" s="53"/>
      <c r="AD114" s="53"/>
      <c r="AE114" s="29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</row>
    <row r="115" spans="2:53">
      <c r="B115" s="53"/>
      <c r="C115" s="53"/>
      <c r="D115" s="53"/>
      <c r="E115" s="53"/>
      <c r="F115" s="29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4"/>
      <c r="Z115" s="53"/>
      <c r="AA115" s="53"/>
      <c r="AB115" s="53"/>
      <c r="AC115" s="53"/>
      <c r="AD115" s="53"/>
      <c r="AE115" s="29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</row>
    <row r="116" spans="2:53">
      <c r="B116" s="53"/>
      <c r="C116" s="53"/>
      <c r="D116" s="53"/>
      <c r="E116" s="53"/>
      <c r="F116" s="29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4"/>
      <c r="Z116" s="53"/>
      <c r="AA116" s="53"/>
      <c r="AB116" s="53"/>
      <c r="AC116" s="53"/>
      <c r="AD116" s="53"/>
      <c r="AE116" s="29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</row>
    <row r="117" spans="2:53">
      <c r="B117" s="53"/>
      <c r="C117" s="53"/>
      <c r="D117" s="53"/>
      <c r="E117" s="53"/>
      <c r="F117" s="29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4"/>
      <c r="Z117" s="53"/>
      <c r="AA117" s="53"/>
      <c r="AB117" s="53"/>
      <c r="AC117" s="53"/>
      <c r="AD117" s="53"/>
      <c r="AE117" s="29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</row>
    <row r="118" spans="2:53">
      <c r="B118" s="53"/>
      <c r="C118" s="53"/>
      <c r="D118" s="53"/>
      <c r="E118" s="53"/>
      <c r="F118" s="29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4"/>
      <c r="Z118" s="53"/>
      <c r="AA118" s="53"/>
      <c r="AB118" s="53"/>
      <c r="AC118" s="53"/>
      <c r="AD118" s="53"/>
      <c r="AE118" s="29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</row>
    <row r="119" spans="2:53">
      <c r="B119" s="53"/>
      <c r="C119" s="53"/>
      <c r="D119" s="53"/>
      <c r="E119" s="53"/>
      <c r="F119" s="29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4"/>
      <c r="Z119" s="53"/>
      <c r="AA119" s="53"/>
      <c r="AB119" s="53"/>
      <c r="AC119" s="53"/>
      <c r="AD119" s="53"/>
      <c r="AE119" s="29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</row>
    <row r="120" spans="2:53">
      <c r="B120" s="53"/>
      <c r="C120" s="53"/>
      <c r="D120" s="53"/>
      <c r="E120" s="53"/>
      <c r="F120" s="29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4"/>
      <c r="Z120" s="53"/>
      <c r="AA120" s="53"/>
      <c r="AB120" s="53"/>
      <c r="AC120" s="53"/>
      <c r="AD120" s="53"/>
      <c r="AE120" s="29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</row>
    <row r="121" spans="2:53">
      <c r="B121" s="53"/>
      <c r="C121" s="53"/>
      <c r="D121" s="53"/>
      <c r="E121" s="53"/>
      <c r="F121" s="29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4"/>
      <c r="Z121" s="53"/>
      <c r="AA121" s="53"/>
      <c r="AB121" s="53"/>
      <c r="AC121" s="53"/>
      <c r="AD121" s="53"/>
      <c r="AE121" s="29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</row>
    <row r="122" spans="2:53">
      <c r="B122" s="53"/>
      <c r="C122" s="53"/>
      <c r="D122" s="53"/>
      <c r="E122" s="53"/>
      <c r="F122" s="29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4"/>
      <c r="Z122" s="53"/>
      <c r="AA122" s="53"/>
      <c r="AB122" s="53"/>
      <c r="AC122" s="53"/>
      <c r="AD122" s="53"/>
      <c r="AE122" s="29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</row>
    <row r="123" spans="2:53">
      <c r="B123" s="53"/>
      <c r="C123" s="53"/>
      <c r="D123" s="53"/>
      <c r="E123" s="53"/>
      <c r="F123" s="29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4"/>
      <c r="Z123" s="53"/>
      <c r="AA123" s="53"/>
      <c r="AB123" s="53"/>
      <c r="AC123" s="53"/>
      <c r="AD123" s="53"/>
      <c r="AE123" s="29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</row>
    <row r="124" spans="2:53">
      <c r="B124" s="53"/>
      <c r="C124" s="53"/>
      <c r="D124" s="53"/>
      <c r="E124" s="53"/>
      <c r="F124" s="29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4"/>
      <c r="Z124" s="53"/>
      <c r="AA124" s="53"/>
      <c r="AB124" s="53"/>
      <c r="AC124" s="53"/>
      <c r="AD124" s="53"/>
      <c r="AE124" s="29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</row>
    <row r="125" spans="2:53">
      <c r="B125" s="53"/>
      <c r="C125" s="53"/>
      <c r="D125" s="53"/>
      <c r="E125" s="53"/>
      <c r="F125" s="29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4"/>
      <c r="Z125" s="53"/>
      <c r="AA125" s="53"/>
      <c r="AB125" s="53"/>
      <c r="AC125" s="53"/>
      <c r="AD125" s="53"/>
      <c r="AE125" s="29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</row>
    <row r="126" spans="2:53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</row>
    <row r="127" spans="2:53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</row>
    <row r="128" spans="2:53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</row>
    <row r="129" spans="2:2">
      <c r="B129" s="53"/>
    </row>
    <row r="130" spans="2:2">
      <c r="B130" s="53"/>
    </row>
    <row r="131" spans="2:2">
      <c r="B131" s="53"/>
    </row>
    <row r="132" spans="2:2">
      <c r="B132" s="53"/>
    </row>
    <row r="133" spans="2:2">
      <c r="B133" s="53"/>
    </row>
    <row r="134" spans="2:2">
      <c r="B134" s="53"/>
    </row>
    <row r="135" spans="2:2">
      <c r="B135" s="53"/>
    </row>
    <row r="136" spans="2:2">
      <c r="B136" s="53"/>
    </row>
    <row r="137" spans="2:2">
      <c r="B137" s="53"/>
    </row>
    <row r="138" spans="2:2">
      <c r="B138" s="53"/>
    </row>
    <row r="139" spans="2:2">
      <c r="B139" s="53"/>
    </row>
    <row r="140" spans="2:2">
      <c r="B140" s="53"/>
    </row>
    <row r="141" spans="2:2">
      <c r="B141" s="53"/>
    </row>
    <row r="142" spans="2:2">
      <c r="B142" s="53"/>
    </row>
    <row r="143" spans="2:2">
      <c r="B143" s="53"/>
    </row>
    <row r="144" spans="2:2">
      <c r="B144" s="53"/>
    </row>
    <row r="145" spans="2:2">
      <c r="B145" s="53"/>
    </row>
    <row r="146" spans="2:2">
      <c r="B146" s="53"/>
    </row>
    <row r="147" spans="2:2">
      <c r="B147" s="53"/>
    </row>
    <row r="148" spans="2:2">
      <c r="B148" s="53"/>
    </row>
    <row r="149" spans="2:2">
      <c r="B149" s="53"/>
    </row>
    <row r="150" spans="2:2">
      <c r="B150" s="53"/>
    </row>
    <row r="151" spans="2:2">
      <c r="B151" s="53"/>
    </row>
    <row r="152" spans="2:2">
      <c r="B152" s="53"/>
    </row>
    <row r="153" spans="2:2">
      <c r="B153" s="53"/>
    </row>
    <row r="154" spans="2:2">
      <c r="B154" s="53"/>
    </row>
    <row r="155" spans="2:2">
      <c r="B155" s="53"/>
    </row>
    <row r="156" spans="2:2">
      <c r="B156" s="53"/>
    </row>
    <row r="157" spans="2:2">
      <c r="B157" s="53"/>
    </row>
    <row r="158" spans="2:2">
      <c r="B158" s="53"/>
    </row>
    <row r="159" spans="2:2">
      <c r="B159" s="53"/>
    </row>
    <row r="160" spans="2:2">
      <c r="B160" s="53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21"/>
  <sheetViews>
    <sheetView workbookViewId="0">
      <pane ySplit="7" topLeftCell="A8" activePane="bottomLeft" state="frozen"/>
      <selection pane="bottomLeft" activeCell="A6" sqref="A6"/>
    </sheetView>
  </sheetViews>
  <sheetFormatPr defaultRowHeight="15"/>
  <cols>
    <col min="2" max="2" width="46.85546875" bestFit="1" customWidth="1"/>
    <col min="3" max="3" width="28.85546875" customWidth="1"/>
    <col min="4" max="4" width="10.140625" bestFit="1" customWidth="1"/>
    <col min="5" max="5" width="27.7109375" bestFit="1" customWidth="1"/>
    <col min="6" max="6" width="10.7109375" bestFit="1" customWidth="1"/>
    <col min="22" max="22" width="12.85546875" bestFit="1" customWidth="1"/>
    <col min="23" max="23" width="11.7109375" bestFit="1" customWidth="1"/>
    <col min="24" max="24" width="29.140625" bestFit="1" customWidth="1"/>
    <col min="25" max="25" width="28.7109375" customWidth="1"/>
    <col min="26" max="26" width="29.28515625" bestFit="1" customWidth="1"/>
    <col min="30" max="31" width="27.42578125" bestFit="1" customWidth="1"/>
    <col min="32" max="32" width="29.28515625" bestFit="1" customWidth="1"/>
    <col min="40" max="40" width="11.7109375" customWidth="1"/>
    <col min="41" max="41" width="12.140625" customWidth="1"/>
    <col min="42" max="42" width="29.140625" bestFit="1" customWidth="1"/>
    <col min="43" max="43" width="11.42578125" customWidth="1"/>
    <col min="49" max="49" width="26.85546875" customWidth="1"/>
  </cols>
  <sheetData>
    <row r="1" spans="1:49">
      <c r="A1" s="30" t="s">
        <v>299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3" spans="1:49">
      <c r="A3" s="30" t="s">
        <v>300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</row>
    <row r="4" spans="1:49">
      <c r="A4" s="31" t="s">
        <v>301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</row>
    <row r="5" spans="1:49">
      <c r="A5" s="31" t="s">
        <v>59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</row>
    <row r="7" spans="1:49" ht="15.75" thickBot="1">
      <c r="A7" s="32" t="s">
        <v>76</v>
      </c>
      <c r="B7" s="32" t="s">
        <v>302</v>
      </c>
      <c r="C7" s="32" t="s">
        <v>4</v>
      </c>
      <c r="D7" s="32" t="s">
        <v>258</v>
      </c>
      <c r="E7" s="32" t="s">
        <v>259</v>
      </c>
      <c r="F7" s="32" t="s">
        <v>260</v>
      </c>
      <c r="G7" s="32" t="s">
        <v>303</v>
      </c>
      <c r="H7" s="32" t="s">
        <v>304</v>
      </c>
      <c r="I7" s="32" t="s">
        <v>305</v>
      </c>
      <c r="J7" s="32" t="s">
        <v>306</v>
      </c>
      <c r="K7" s="32" t="s">
        <v>307</v>
      </c>
      <c r="L7" s="32" t="s">
        <v>308</v>
      </c>
      <c r="M7" s="32" t="s">
        <v>309</v>
      </c>
      <c r="N7" s="32" t="s">
        <v>310</v>
      </c>
      <c r="O7" s="32" t="s">
        <v>311</v>
      </c>
      <c r="P7" s="32" t="s">
        <v>312</v>
      </c>
      <c r="Q7" s="32" t="s">
        <v>313</v>
      </c>
      <c r="R7" s="32" t="s">
        <v>261</v>
      </c>
      <c r="S7" s="32" t="s">
        <v>268</v>
      </c>
      <c r="T7" s="32" t="s">
        <v>262</v>
      </c>
      <c r="U7" s="32" t="s">
        <v>263</v>
      </c>
      <c r="V7" s="32" t="s">
        <v>264</v>
      </c>
      <c r="W7" s="32" t="s">
        <v>49</v>
      </c>
      <c r="X7" s="34" t="s">
        <v>256</v>
      </c>
      <c r="Y7" s="34" t="s">
        <v>314</v>
      </c>
      <c r="Z7" s="53" t="s">
        <v>315</v>
      </c>
      <c r="AA7" s="32" t="s">
        <v>316</v>
      </c>
      <c r="AB7" s="32" t="s">
        <v>317</v>
      </c>
      <c r="AC7" s="32" t="s">
        <v>318</v>
      </c>
      <c r="AD7" s="32" t="s">
        <v>319</v>
      </c>
      <c r="AE7" s="34" t="s">
        <v>320</v>
      </c>
      <c r="AF7" s="34" t="s">
        <v>321</v>
      </c>
      <c r="AG7" s="32" t="s">
        <v>322</v>
      </c>
      <c r="AH7" s="32" t="s">
        <v>323</v>
      </c>
      <c r="AI7" s="32" t="s">
        <v>267</v>
      </c>
      <c r="AJ7" s="32" t="s">
        <v>324</v>
      </c>
      <c r="AK7" s="32" t="s">
        <v>325</v>
      </c>
      <c r="AL7" s="32" t="s">
        <v>326</v>
      </c>
      <c r="AM7" s="32" t="s">
        <v>327</v>
      </c>
      <c r="AN7" s="32" t="s">
        <v>282</v>
      </c>
      <c r="AO7" s="32" t="s">
        <v>283</v>
      </c>
      <c r="AP7" s="32" t="s">
        <v>280</v>
      </c>
      <c r="AQ7" s="32" t="s">
        <v>281</v>
      </c>
      <c r="AR7" s="32" t="s">
        <v>328</v>
      </c>
      <c r="AS7" s="32" t="s">
        <v>329</v>
      </c>
      <c r="AT7" s="32" t="s">
        <v>330</v>
      </c>
      <c r="AU7" s="32" t="s">
        <v>331</v>
      </c>
      <c r="AV7" s="32" t="s">
        <v>332</v>
      </c>
      <c r="AW7" s="32" t="s">
        <v>125</v>
      </c>
    </row>
    <row r="8" spans="1:49">
      <c r="A8" s="31">
        <v>459</v>
      </c>
      <c r="B8" s="31" t="s">
        <v>333</v>
      </c>
      <c r="C8" s="31" t="s">
        <v>334</v>
      </c>
      <c r="D8" s="31" t="s">
        <v>78</v>
      </c>
      <c r="E8" s="31" t="s">
        <v>335</v>
      </c>
      <c r="F8" s="33">
        <v>41888</v>
      </c>
      <c r="G8" s="31" t="s">
        <v>333</v>
      </c>
      <c r="H8" s="31" t="s">
        <v>297</v>
      </c>
      <c r="I8" s="31" t="s">
        <v>336</v>
      </c>
      <c r="J8" s="31" t="s">
        <v>337</v>
      </c>
      <c r="K8" s="31">
        <v>0</v>
      </c>
      <c r="L8" s="53">
        <v>0</v>
      </c>
      <c r="M8" s="31" t="s">
        <v>337</v>
      </c>
      <c r="N8" s="53"/>
      <c r="O8" s="31" t="b">
        <v>0</v>
      </c>
      <c r="P8" s="53"/>
      <c r="Q8" s="31" t="b">
        <v>1</v>
      </c>
      <c r="R8" s="31" t="s">
        <v>288</v>
      </c>
      <c r="S8" s="31" t="s">
        <v>293</v>
      </c>
      <c r="T8" s="31" t="s">
        <v>289</v>
      </c>
      <c r="U8" s="31" t="s">
        <v>290</v>
      </c>
      <c r="V8" s="31" t="s">
        <v>291</v>
      </c>
      <c r="W8" s="31" t="s">
        <v>51</v>
      </c>
      <c r="X8" s="31" t="str">
        <f>IF(VLOOKUP(AF8,'WaterHeater Technology'!$A$8:$S$103,19,FALSE)&gt;0,AF8,"")</f>
        <v>Inst_EF-Gas-150kBtuh-0p82EF</v>
      </c>
      <c r="Y8" s="31" t="str">
        <f>IF(VLOOKUP(AE8,'WaterHeater Technology'!$A$8:$S$103,19,FALSE)&gt;0,AE8,"")</f>
        <v/>
      </c>
      <c r="Z8" s="31" t="s">
        <v>338</v>
      </c>
      <c r="AA8" s="31" t="s">
        <v>339</v>
      </c>
      <c r="AB8" s="53"/>
      <c r="AC8" s="53"/>
      <c r="AD8" s="53"/>
      <c r="AE8" s="53" t="s">
        <v>244</v>
      </c>
      <c r="AF8" s="31" t="s">
        <v>77</v>
      </c>
      <c r="AG8" s="53" t="b">
        <v>0</v>
      </c>
      <c r="AH8" s="31" t="b">
        <v>0</v>
      </c>
      <c r="AI8" s="31"/>
      <c r="AJ8" s="53" t="s">
        <v>340</v>
      </c>
      <c r="AK8" s="31" t="s">
        <v>341</v>
      </c>
      <c r="AL8" s="53"/>
      <c r="AM8" s="53" t="s">
        <v>337</v>
      </c>
      <c r="AN8" s="33">
        <v>42110</v>
      </c>
      <c r="AO8" s="53"/>
      <c r="AP8" s="31" t="s">
        <v>342</v>
      </c>
      <c r="AQ8" s="31" t="s">
        <v>297</v>
      </c>
      <c r="AR8" s="53"/>
      <c r="AS8" s="53"/>
      <c r="AT8" s="53"/>
      <c r="AU8" s="53"/>
      <c r="AV8" s="31" t="s">
        <v>336</v>
      </c>
      <c r="AW8" s="31"/>
    </row>
    <row r="9" spans="1:49">
      <c r="A9" s="31">
        <v>461</v>
      </c>
      <c r="B9" s="31" t="s">
        <v>343</v>
      </c>
      <c r="C9" s="31" t="s">
        <v>344</v>
      </c>
      <c r="D9" s="31" t="s">
        <v>78</v>
      </c>
      <c r="E9" s="31" t="s">
        <v>335</v>
      </c>
      <c r="F9" s="33">
        <v>41888</v>
      </c>
      <c r="G9" s="31" t="s">
        <v>343</v>
      </c>
      <c r="H9" s="31" t="s">
        <v>297</v>
      </c>
      <c r="I9" s="31" t="s">
        <v>336</v>
      </c>
      <c r="J9" s="31" t="s">
        <v>337</v>
      </c>
      <c r="K9" s="31">
        <v>0</v>
      </c>
      <c r="L9" s="53">
        <v>0</v>
      </c>
      <c r="M9" s="31" t="s">
        <v>337</v>
      </c>
      <c r="N9" s="53"/>
      <c r="O9" s="31" t="b">
        <v>0</v>
      </c>
      <c r="P9" s="53"/>
      <c r="Q9" s="31" t="b">
        <v>1</v>
      </c>
      <c r="R9" s="31" t="s">
        <v>288</v>
      </c>
      <c r="S9" s="31" t="s">
        <v>293</v>
      </c>
      <c r="T9" s="31" t="s">
        <v>289</v>
      </c>
      <c r="U9" s="31" t="s">
        <v>290</v>
      </c>
      <c r="V9" s="31" t="s">
        <v>291</v>
      </c>
      <c r="W9" s="31" t="s">
        <v>51</v>
      </c>
      <c r="X9" s="31" t="str">
        <f>IF(VLOOKUP(AF9,'WaterHeater Technology'!$A$8:$S$103,19,FALSE)&gt;0,AF9,"")</f>
        <v>Inst_EF-Gas-150kBtuh-0p82EF</v>
      </c>
      <c r="Y9" s="31" t="str">
        <f>IF(VLOOKUP(AE9,'WaterHeater Technology'!$A$8:$S$103,19,FALSE)&gt;0,AE9,"")</f>
        <v>Stor_EF-Gas-040gal-0.615EF</v>
      </c>
      <c r="Z9" s="31" t="s">
        <v>338</v>
      </c>
      <c r="AA9" s="31" t="s">
        <v>345</v>
      </c>
      <c r="AB9" s="53"/>
      <c r="AC9" s="53"/>
      <c r="AD9" s="53"/>
      <c r="AE9" s="53" t="s">
        <v>190</v>
      </c>
      <c r="AF9" s="31" t="s">
        <v>77</v>
      </c>
      <c r="AG9" s="53" t="b">
        <v>0</v>
      </c>
      <c r="AH9" s="31" t="b">
        <v>0</v>
      </c>
      <c r="AI9" s="31"/>
      <c r="AJ9" s="53" t="s">
        <v>340</v>
      </c>
      <c r="AK9" s="31" t="s">
        <v>346</v>
      </c>
      <c r="AL9" s="53"/>
      <c r="AM9" s="53" t="s">
        <v>337</v>
      </c>
      <c r="AN9" s="33">
        <v>42110</v>
      </c>
      <c r="AO9" s="53"/>
      <c r="AP9" s="31" t="s">
        <v>342</v>
      </c>
      <c r="AQ9" s="31" t="s">
        <v>297</v>
      </c>
      <c r="AR9" s="53"/>
      <c r="AS9" s="53"/>
      <c r="AT9" s="53"/>
      <c r="AU9" s="53"/>
      <c r="AV9" s="31" t="s">
        <v>336</v>
      </c>
      <c r="AW9" s="31"/>
    </row>
    <row r="10" spans="1:49">
      <c r="A10" s="31">
        <v>460</v>
      </c>
      <c r="B10" s="31" t="s">
        <v>347</v>
      </c>
      <c r="C10" s="31" t="s">
        <v>348</v>
      </c>
      <c r="D10" s="31" t="s">
        <v>78</v>
      </c>
      <c r="E10" s="31" t="s">
        <v>335</v>
      </c>
      <c r="F10" s="33">
        <v>41888</v>
      </c>
      <c r="G10" s="31" t="s">
        <v>347</v>
      </c>
      <c r="H10" s="31" t="s">
        <v>297</v>
      </c>
      <c r="I10" s="31" t="s">
        <v>336</v>
      </c>
      <c r="J10" s="31" t="s">
        <v>337</v>
      </c>
      <c r="K10" s="31">
        <v>0</v>
      </c>
      <c r="L10" s="53">
        <v>0</v>
      </c>
      <c r="M10" s="31" t="s">
        <v>337</v>
      </c>
      <c r="N10" s="53"/>
      <c r="O10" s="31" t="b">
        <v>0</v>
      </c>
      <c r="P10" s="53"/>
      <c r="Q10" s="31" t="b">
        <v>1</v>
      </c>
      <c r="R10" s="31" t="s">
        <v>288</v>
      </c>
      <c r="S10" s="31" t="s">
        <v>293</v>
      </c>
      <c r="T10" s="31" t="s">
        <v>289</v>
      </c>
      <c r="U10" s="31" t="s">
        <v>290</v>
      </c>
      <c r="V10" s="31" t="s">
        <v>291</v>
      </c>
      <c r="W10" s="31" t="s">
        <v>51</v>
      </c>
      <c r="X10" s="31" t="str">
        <f>IF(VLOOKUP(AF10,'WaterHeater Technology'!$A$8:$S$103,19,FALSE)&gt;0,AF10,"")</f>
        <v>Inst_EF-Gas-150kBtuh-0p92EF</v>
      </c>
      <c r="Y10" s="31" t="str">
        <f>IF(VLOOKUP(AE10,'WaterHeater Technology'!$A$8:$S$103,19,FALSE)&gt;0,AE10,"")</f>
        <v/>
      </c>
      <c r="Z10" s="31" t="s">
        <v>338</v>
      </c>
      <c r="AA10" s="31" t="s">
        <v>339</v>
      </c>
      <c r="AB10" s="53"/>
      <c r="AC10" s="53"/>
      <c r="AD10" s="53"/>
      <c r="AE10" s="53" t="s">
        <v>244</v>
      </c>
      <c r="AF10" s="31" t="s">
        <v>83</v>
      </c>
      <c r="AG10" s="53" t="b">
        <v>0</v>
      </c>
      <c r="AH10" s="31" t="b">
        <v>0</v>
      </c>
      <c r="AI10" s="31"/>
      <c r="AJ10" s="53" t="s">
        <v>340</v>
      </c>
      <c r="AK10" s="31" t="s">
        <v>341</v>
      </c>
      <c r="AL10" s="53"/>
      <c r="AM10" s="53" t="s">
        <v>337</v>
      </c>
      <c r="AN10" s="33">
        <v>42110</v>
      </c>
      <c r="AO10" s="53"/>
      <c r="AP10" s="31" t="s">
        <v>342</v>
      </c>
      <c r="AQ10" s="31" t="s">
        <v>297</v>
      </c>
      <c r="AR10" s="53"/>
      <c r="AS10" s="53"/>
      <c r="AT10" s="53"/>
      <c r="AU10" s="53"/>
      <c r="AV10" s="31" t="s">
        <v>336</v>
      </c>
      <c r="AW10" s="31"/>
    </row>
    <row r="11" spans="1:49">
      <c r="A11" s="31">
        <v>462</v>
      </c>
      <c r="B11" s="31" t="s">
        <v>349</v>
      </c>
      <c r="C11" s="31" t="s">
        <v>350</v>
      </c>
      <c r="D11" s="31" t="s">
        <v>78</v>
      </c>
      <c r="E11" s="31" t="s">
        <v>335</v>
      </c>
      <c r="F11" s="33">
        <v>41888</v>
      </c>
      <c r="G11" s="31" t="s">
        <v>349</v>
      </c>
      <c r="H11" s="31" t="s">
        <v>297</v>
      </c>
      <c r="I11" s="31" t="s">
        <v>336</v>
      </c>
      <c r="J11" s="31" t="s">
        <v>337</v>
      </c>
      <c r="K11" s="31">
        <v>0</v>
      </c>
      <c r="L11" s="53">
        <v>0</v>
      </c>
      <c r="M11" s="31" t="s">
        <v>337</v>
      </c>
      <c r="N11" s="53"/>
      <c r="O11" s="31" t="b">
        <v>0</v>
      </c>
      <c r="P11" s="53"/>
      <c r="Q11" s="31" t="b">
        <v>1</v>
      </c>
      <c r="R11" s="31" t="s">
        <v>288</v>
      </c>
      <c r="S11" s="31" t="s">
        <v>293</v>
      </c>
      <c r="T11" s="31" t="s">
        <v>289</v>
      </c>
      <c r="U11" s="31" t="s">
        <v>290</v>
      </c>
      <c r="V11" s="31" t="s">
        <v>291</v>
      </c>
      <c r="W11" s="31" t="s">
        <v>51</v>
      </c>
      <c r="X11" s="31" t="str">
        <f>IF(VLOOKUP(AF11,'WaterHeater Technology'!$A$8:$S$103,19,FALSE)&gt;0,AF11,"")</f>
        <v>Inst_EF-Gas-150kBtuh-0p92EF</v>
      </c>
      <c r="Y11" s="31" t="str">
        <f>IF(VLOOKUP(AE11,'WaterHeater Technology'!$A$8:$S$103,19,FALSE)&gt;0,AE11,"")</f>
        <v>Stor_EF-Gas-040gal-0.615EF</v>
      </c>
      <c r="Z11" s="31" t="s">
        <v>338</v>
      </c>
      <c r="AA11" s="31" t="s">
        <v>345</v>
      </c>
      <c r="AB11" s="53"/>
      <c r="AC11" s="53"/>
      <c r="AD11" s="53"/>
      <c r="AE11" s="53" t="s">
        <v>190</v>
      </c>
      <c r="AF11" s="31" t="s">
        <v>83</v>
      </c>
      <c r="AG11" s="53" t="b">
        <v>0</v>
      </c>
      <c r="AH11" s="31" t="b">
        <v>0</v>
      </c>
      <c r="AI11" s="31"/>
      <c r="AJ11" s="53" t="s">
        <v>340</v>
      </c>
      <c r="AK11" s="31" t="s">
        <v>346</v>
      </c>
      <c r="AL11" s="53"/>
      <c r="AM11" s="53" t="s">
        <v>337</v>
      </c>
      <c r="AN11" s="33">
        <v>42110</v>
      </c>
      <c r="AO11" s="53"/>
      <c r="AP11" s="31" t="s">
        <v>342</v>
      </c>
      <c r="AQ11" s="31" t="s">
        <v>297</v>
      </c>
      <c r="AR11" s="53"/>
      <c r="AS11" s="53"/>
      <c r="AT11" s="53"/>
      <c r="AU11" s="53"/>
      <c r="AV11" s="31" t="s">
        <v>336</v>
      </c>
      <c r="AW11" s="31"/>
    </row>
    <row r="12" spans="1:49">
      <c r="A12" s="31">
        <v>446</v>
      </c>
      <c r="B12" s="31" t="s">
        <v>351</v>
      </c>
      <c r="C12" s="31" t="s">
        <v>352</v>
      </c>
      <c r="D12" s="31" t="s">
        <v>78</v>
      </c>
      <c r="E12" s="31" t="s">
        <v>335</v>
      </c>
      <c r="F12" s="33">
        <v>41888</v>
      </c>
      <c r="G12" s="31" t="s">
        <v>351</v>
      </c>
      <c r="H12" s="31" t="s">
        <v>297</v>
      </c>
      <c r="I12" s="31" t="s">
        <v>336</v>
      </c>
      <c r="J12" s="31" t="s">
        <v>337</v>
      </c>
      <c r="K12" s="31">
        <v>0</v>
      </c>
      <c r="L12" s="53">
        <v>0</v>
      </c>
      <c r="M12" s="31" t="s">
        <v>337</v>
      </c>
      <c r="N12" s="53"/>
      <c r="O12" s="31" t="b">
        <v>0</v>
      </c>
      <c r="P12" s="53"/>
      <c r="Q12" s="31" t="b">
        <v>1</v>
      </c>
      <c r="R12" s="31" t="s">
        <v>288</v>
      </c>
      <c r="S12" s="31" t="s">
        <v>293</v>
      </c>
      <c r="T12" s="31" t="s">
        <v>289</v>
      </c>
      <c r="U12" s="31" t="s">
        <v>290</v>
      </c>
      <c r="V12" s="31" t="s">
        <v>291</v>
      </c>
      <c r="W12" s="31" t="s">
        <v>53</v>
      </c>
      <c r="X12" s="31" t="str">
        <f>IF(VLOOKUP(AF12,'WaterHeater Technology'!$A$8:$S$103,19,FALSE)&gt;0,AF12,"")</f>
        <v/>
      </c>
      <c r="Y12" s="31" t="str">
        <f>IF(VLOOKUP(AE12,'WaterHeater Technology'!$A$8:$S$103,19,FALSE)&gt;0,AE12,"")</f>
        <v>Stor_EF-Gas-030gal-0.630EF</v>
      </c>
      <c r="Z12" s="31" t="s">
        <v>353</v>
      </c>
      <c r="AA12" s="31" t="s">
        <v>354</v>
      </c>
      <c r="AB12" s="53"/>
      <c r="AC12" s="53"/>
      <c r="AD12" s="53"/>
      <c r="AE12" s="53" t="s">
        <v>173</v>
      </c>
      <c r="AF12" s="31" t="s">
        <v>179</v>
      </c>
      <c r="AG12" s="53" t="b">
        <v>0</v>
      </c>
      <c r="AH12" s="31" t="b">
        <v>0</v>
      </c>
      <c r="AI12" s="31"/>
      <c r="AJ12" s="53" t="s">
        <v>340</v>
      </c>
      <c r="AK12" s="31" t="s">
        <v>353</v>
      </c>
      <c r="AL12" s="53"/>
      <c r="AM12" s="53" t="s">
        <v>337</v>
      </c>
      <c r="AN12" s="33">
        <v>42110</v>
      </c>
      <c r="AO12" s="53"/>
      <c r="AP12" s="31" t="s">
        <v>342</v>
      </c>
      <c r="AQ12" s="31" t="s">
        <v>297</v>
      </c>
      <c r="AR12" s="53"/>
      <c r="AS12" s="53"/>
      <c r="AT12" s="53"/>
      <c r="AU12" s="53"/>
      <c r="AV12" s="31" t="s">
        <v>336</v>
      </c>
      <c r="AW12" s="31"/>
    </row>
    <row r="13" spans="1:49">
      <c r="A13" s="31">
        <v>447</v>
      </c>
      <c r="B13" s="31" t="s">
        <v>355</v>
      </c>
      <c r="C13" s="31" t="s">
        <v>356</v>
      </c>
      <c r="D13" s="31" t="s">
        <v>78</v>
      </c>
      <c r="E13" s="31" t="s">
        <v>335</v>
      </c>
      <c r="F13" s="33">
        <v>41888</v>
      </c>
      <c r="G13" s="31" t="s">
        <v>355</v>
      </c>
      <c r="H13" s="31" t="s">
        <v>297</v>
      </c>
      <c r="I13" s="31" t="s">
        <v>336</v>
      </c>
      <c r="J13" s="31" t="s">
        <v>337</v>
      </c>
      <c r="K13" s="31">
        <v>0</v>
      </c>
      <c r="L13" s="53">
        <v>0</v>
      </c>
      <c r="M13" s="31" t="s">
        <v>337</v>
      </c>
      <c r="N13" s="53"/>
      <c r="O13" s="31" t="b">
        <v>0</v>
      </c>
      <c r="P13" s="53"/>
      <c r="Q13" s="31" t="b">
        <v>1</v>
      </c>
      <c r="R13" s="31" t="s">
        <v>288</v>
      </c>
      <c r="S13" s="31" t="s">
        <v>293</v>
      </c>
      <c r="T13" s="31" t="s">
        <v>289</v>
      </c>
      <c r="U13" s="31" t="s">
        <v>290</v>
      </c>
      <c r="V13" s="31" t="s">
        <v>291</v>
      </c>
      <c r="W13" s="31" t="s">
        <v>53</v>
      </c>
      <c r="X13" s="31" t="str">
        <f>IF(VLOOKUP(AF13,'WaterHeater Technology'!$A$8:$S$103,19,FALSE)&gt;0,AF13,"")</f>
        <v>Stor_EF-Gas-040gal-0.65EF</v>
      </c>
      <c r="Y13" s="31" t="str">
        <f>IF(VLOOKUP(AE13,'WaterHeater Technology'!$A$8:$S$103,19,FALSE)&gt;0,AE13,"")</f>
        <v>Stor_EF-Gas-040gal-0.615EF</v>
      </c>
      <c r="Z13" s="31" t="s">
        <v>353</v>
      </c>
      <c r="AA13" s="31" t="s">
        <v>345</v>
      </c>
      <c r="AB13" s="53"/>
      <c r="AC13" s="53"/>
      <c r="AD13" s="53"/>
      <c r="AE13" s="53" t="s">
        <v>190</v>
      </c>
      <c r="AF13" s="31" t="s">
        <v>194</v>
      </c>
      <c r="AG13" s="53" t="b">
        <v>0</v>
      </c>
      <c r="AH13" s="31" t="b">
        <v>0</v>
      </c>
      <c r="AI13" s="31"/>
      <c r="AJ13" s="53" t="s">
        <v>340</v>
      </c>
      <c r="AK13" s="31" t="s">
        <v>353</v>
      </c>
      <c r="AL13" s="53"/>
      <c r="AM13" s="53" t="s">
        <v>337</v>
      </c>
      <c r="AN13" s="33">
        <v>42110</v>
      </c>
      <c r="AO13" s="53"/>
      <c r="AP13" s="31" t="s">
        <v>342</v>
      </c>
      <c r="AQ13" s="31" t="s">
        <v>297</v>
      </c>
      <c r="AR13" s="53"/>
      <c r="AS13" s="53"/>
      <c r="AT13" s="53"/>
      <c r="AU13" s="53"/>
      <c r="AV13" s="31" t="s">
        <v>336</v>
      </c>
      <c r="AW13" s="31"/>
    </row>
    <row r="14" spans="1:49">
      <c r="A14" s="31">
        <v>449</v>
      </c>
      <c r="B14" s="31" t="s">
        <v>357</v>
      </c>
      <c r="C14" s="31" t="s">
        <v>358</v>
      </c>
      <c r="D14" s="31" t="s">
        <v>78</v>
      </c>
      <c r="E14" s="31" t="s">
        <v>335</v>
      </c>
      <c r="F14" s="33">
        <v>41888</v>
      </c>
      <c r="G14" s="31" t="s">
        <v>357</v>
      </c>
      <c r="H14" s="31" t="s">
        <v>297</v>
      </c>
      <c r="I14" s="31" t="s">
        <v>336</v>
      </c>
      <c r="J14" s="31" t="s">
        <v>337</v>
      </c>
      <c r="K14" s="31">
        <v>0</v>
      </c>
      <c r="L14" s="53">
        <v>0</v>
      </c>
      <c r="M14" s="31" t="s">
        <v>337</v>
      </c>
      <c r="N14" s="53"/>
      <c r="O14" s="31" t="b">
        <v>0</v>
      </c>
      <c r="P14" s="53"/>
      <c r="Q14" s="31" t="b">
        <v>1</v>
      </c>
      <c r="R14" s="31" t="s">
        <v>288</v>
      </c>
      <c r="S14" s="31" t="s">
        <v>293</v>
      </c>
      <c r="T14" s="31" t="s">
        <v>289</v>
      </c>
      <c r="U14" s="31" t="s">
        <v>290</v>
      </c>
      <c r="V14" s="31" t="s">
        <v>291</v>
      </c>
      <c r="W14" s="31" t="s">
        <v>53</v>
      </c>
      <c r="X14" s="31" t="str">
        <f>IF(VLOOKUP(AF14,'WaterHeater Technology'!$A$8:$S$103,19,FALSE)&gt;0,AF14,"")</f>
        <v>Stor_EF-Gas-040gal-0.82EF</v>
      </c>
      <c r="Y14" s="31" t="str">
        <f>IF(VLOOKUP(AE14,'WaterHeater Technology'!$A$8:$S$103,19,FALSE)&gt;0,AE14,"")</f>
        <v>Stor_EF-Gas-040gal-0.615EF</v>
      </c>
      <c r="Z14" s="31" t="s">
        <v>353</v>
      </c>
      <c r="AA14" s="31" t="s">
        <v>345</v>
      </c>
      <c r="AB14" s="53"/>
      <c r="AC14" s="53"/>
      <c r="AD14" s="53"/>
      <c r="AE14" s="53" t="s">
        <v>190</v>
      </c>
      <c r="AF14" s="31" t="s">
        <v>202</v>
      </c>
      <c r="AG14" s="53" t="b">
        <v>0</v>
      </c>
      <c r="AH14" s="31" t="b">
        <v>0</v>
      </c>
      <c r="AI14" s="31"/>
      <c r="AJ14" s="53" t="s">
        <v>340</v>
      </c>
      <c r="AK14" s="31" t="s">
        <v>353</v>
      </c>
      <c r="AL14" s="53"/>
      <c r="AM14" s="53" t="s">
        <v>337</v>
      </c>
      <c r="AN14" s="33">
        <v>42110</v>
      </c>
      <c r="AO14" s="53"/>
      <c r="AP14" s="31" t="s">
        <v>342</v>
      </c>
      <c r="AQ14" s="31" t="s">
        <v>297</v>
      </c>
      <c r="AR14" s="53"/>
      <c r="AS14" s="53"/>
      <c r="AT14" s="53"/>
      <c r="AU14" s="53"/>
      <c r="AV14" s="31" t="s">
        <v>336</v>
      </c>
      <c r="AW14" s="31"/>
    </row>
    <row r="15" spans="1:49">
      <c r="A15" s="31">
        <v>452</v>
      </c>
      <c r="B15" s="31" t="s">
        <v>359</v>
      </c>
      <c r="C15" s="31" t="s">
        <v>358</v>
      </c>
      <c r="D15" s="31" t="s">
        <v>78</v>
      </c>
      <c r="E15" s="31" t="s">
        <v>335</v>
      </c>
      <c r="F15" s="33">
        <v>41888</v>
      </c>
      <c r="G15" s="31" t="s">
        <v>359</v>
      </c>
      <c r="H15" s="31" t="s">
        <v>297</v>
      </c>
      <c r="I15" s="31" t="s">
        <v>336</v>
      </c>
      <c r="J15" s="31" t="s">
        <v>337</v>
      </c>
      <c r="K15" s="31">
        <v>0</v>
      </c>
      <c r="L15" s="53">
        <v>0</v>
      </c>
      <c r="M15" s="31" t="s">
        <v>337</v>
      </c>
      <c r="N15" s="53"/>
      <c r="O15" s="31" t="b">
        <v>0</v>
      </c>
      <c r="P15" s="53"/>
      <c r="Q15" s="31" t="b">
        <v>1</v>
      </c>
      <c r="R15" s="31" t="s">
        <v>288</v>
      </c>
      <c r="S15" s="31" t="s">
        <v>293</v>
      </c>
      <c r="T15" s="31" t="s">
        <v>289</v>
      </c>
      <c r="U15" s="31" t="s">
        <v>290</v>
      </c>
      <c r="V15" s="31" t="s">
        <v>291</v>
      </c>
      <c r="W15" s="31" t="s">
        <v>53</v>
      </c>
      <c r="X15" s="31" t="str">
        <f>IF(VLOOKUP(AF15,'WaterHeater Technology'!$A$8:$S$103,19,FALSE)&gt;0,AF15,"")</f>
        <v/>
      </c>
      <c r="Y15" s="31" t="str">
        <f>IF(VLOOKUP(AE15,'WaterHeater Technology'!$A$8:$S$103,19,FALSE)&gt;0,AE15,"")</f>
        <v>Stor_EF-Gas-050gal-0.600EF</v>
      </c>
      <c r="Z15" s="31" t="s">
        <v>353</v>
      </c>
      <c r="AA15" s="31" t="s">
        <v>360</v>
      </c>
      <c r="AB15" s="53"/>
      <c r="AC15" s="53"/>
      <c r="AD15" s="53"/>
      <c r="AE15" s="53" t="s">
        <v>208</v>
      </c>
      <c r="AF15" s="31" t="s">
        <v>217</v>
      </c>
      <c r="AG15" s="53" t="b">
        <v>0</v>
      </c>
      <c r="AH15" s="31" t="b">
        <v>0</v>
      </c>
      <c r="AI15" s="31"/>
      <c r="AJ15" s="53" t="s">
        <v>340</v>
      </c>
      <c r="AK15" s="31" t="s">
        <v>353</v>
      </c>
      <c r="AL15" s="53"/>
      <c r="AM15" s="53" t="s">
        <v>337</v>
      </c>
      <c r="AN15" s="33">
        <v>42110</v>
      </c>
      <c r="AO15" s="53"/>
      <c r="AP15" s="31" t="s">
        <v>342</v>
      </c>
      <c r="AQ15" s="31" t="s">
        <v>297</v>
      </c>
      <c r="AR15" s="53"/>
      <c r="AS15" s="53"/>
      <c r="AT15" s="53"/>
      <c r="AU15" s="53"/>
      <c r="AV15" s="31" t="s">
        <v>336</v>
      </c>
      <c r="AW15" s="31"/>
    </row>
    <row r="16" spans="1:49">
      <c r="A16" s="31">
        <v>453</v>
      </c>
      <c r="B16" s="31" t="s">
        <v>361</v>
      </c>
      <c r="C16" s="31" t="s">
        <v>362</v>
      </c>
      <c r="D16" s="31" t="s">
        <v>78</v>
      </c>
      <c r="E16" s="31" t="s">
        <v>335</v>
      </c>
      <c r="F16" s="33">
        <v>41888</v>
      </c>
      <c r="G16" s="31" t="s">
        <v>361</v>
      </c>
      <c r="H16" s="31" t="s">
        <v>297</v>
      </c>
      <c r="I16" s="31" t="s">
        <v>336</v>
      </c>
      <c r="J16" s="31" t="s">
        <v>337</v>
      </c>
      <c r="K16" s="31">
        <v>0</v>
      </c>
      <c r="L16" s="53">
        <v>0</v>
      </c>
      <c r="M16" s="31" t="s">
        <v>337</v>
      </c>
      <c r="N16" s="53"/>
      <c r="O16" s="31" t="b">
        <v>0</v>
      </c>
      <c r="P16" s="53"/>
      <c r="Q16" s="31" t="b">
        <v>1</v>
      </c>
      <c r="R16" s="31" t="s">
        <v>288</v>
      </c>
      <c r="S16" s="31" t="s">
        <v>293</v>
      </c>
      <c r="T16" s="31" t="s">
        <v>289</v>
      </c>
      <c r="U16" s="31" t="s">
        <v>290</v>
      </c>
      <c r="V16" s="31" t="s">
        <v>291</v>
      </c>
      <c r="W16" s="31" t="s">
        <v>53</v>
      </c>
      <c r="X16" s="31" t="str">
        <f>IF(VLOOKUP(AF16,'WaterHeater Technology'!$A$8:$S$103,19,FALSE)&gt;0,AF16,"")</f>
        <v/>
      </c>
      <c r="Y16" s="31" t="str">
        <f>IF(VLOOKUP(AE16,'WaterHeater Technology'!$A$8:$S$103,19,FALSE)&gt;0,AE16,"")</f>
        <v/>
      </c>
      <c r="Z16" s="31" t="s">
        <v>353</v>
      </c>
      <c r="AA16" s="31" t="s">
        <v>363</v>
      </c>
      <c r="AB16" s="53"/>
      <c r="AC16" s="53"/>
      <c r="AD16" s="53"/>
      <c r="AE16" s="53" t="s">
        <v>225</v>
      </c>
      <c r="AF16" s="31" t="s">
        <v>227</v>
      </c>
      <c r="AG16" s="53" t="b">
        <v>0</v>
      </c>
      <c r="AH16" s="31" t="b">
        <v>0</v>
      </c>
      <c r="AI16" s="31"/>
      <c r="AJ16" s="53" t="s">
        <v>340</v>
      </c>
      <c r="AK16" s="31" t="s">
        <v>353</v>
      </c>
      <c r="AL16" s="53"/>
      <c r="AM16" s="53" t="s">
        <v>337</v>
      </c>
      <c r="AN16" s="33">
        <v>42110</v>
      </c>
      <c r="AO16" s="53"/>
      <c r="AP16" s="31" t="s">
        <v>342</v>
      </c>
      <c r="AQ16" s="31" t="s">
        <v>297</v>
      </c>
      <c r="AR16" s="53"/>
      <c r="AS16" s="53"/>
      <c r="AT16" s="53"/>
      <c r="AU16" s="53"/>
      <c r="AV16" s="31" t="s">
        <v>336</v>
      </c>
      <c r="AW16" s="31"/>
    </row>
    <row r="17" spans="1:49">
      <c r="A17" s="31">
        <v>454</v>
      </c>
      <c r="B17" s="31" t="s">
        <v>364</v>
      </c>
      <c r="C17" s="31" t="s">
        <v>365</v>
      </c>
      <c r="D17" s="31" t="s">
        <v>78</v>
      </c>
      <c r="E17" s="31" t="s">
        <v>335</v>
      </c>
      <c r="F17" s="33">
        <v>41888</v>
      </c>
      <c r="G17" s="31" t="s">
        <v>364</v>
      </c>
      <c r="H17" s="31" t="s">
        <v>297</v>
      </c>
      <c r="I17" s="31" t="s">
        <v>336</v>
      </c>
      <c r="J17" s="31" t="s">
        <v>337</v>
      </c>
      <c r="K17" s="31">
        <v>0</v>
      </c>
      <c r="L17" s="53">
        <v>0</v>
      </c>
      <c r="M17" s="31" t="s">
        <v>337</v>
      </c>
      <c r="N17" s="53"/>
      <c r="O17" s="31" t="b">
        <v>0</v>
      </c>
      <c r="P17" s="53"/>
      <c r="Q17" s="31" t="b">
        <v>1</v>
      </c>
      <c r="R17" s="31" t="s">
        <v>288</v>
      </c>
      <c r="S17" s="31" t="s">
        <v>293</v>
      </c>
      <c r="T17" s="31" t="s">
        <v>289</v>
      </c>
      <c r="U17" s="31" t="s">
        <v>290</v>
      </c>
      <c r="V17" s="31" t="s">
        <v>291</v>
      </c>
      <c r="W17" s="31" t="s">
        <v>53</v>
      </c>
      <c r="X17" s="31" t="str">
        <f>IF(VLOOKUP(AF17,'WaterHeater Technology'!$A$8:$S$103,19,FALSE)&gt;0,AF17,"")</f>
        <v/>
      </c>
      <c r="Y17" s="31" t="str">
        <f>IF(VLOOKUP(AE17,'WaterHeater Technology'!$A$8:$S$103,19,FALSE)&gt;0,AE17,"")</f>
        <v/>
      </c>
      <c r="Z17" s="31" t="s">
        <v>353</v>
      </c>
      <c r="AA17" s="31" t="s">
        <v>363</v>
      </c>
      <c r="AB17" s="53"/>
      <c r="AC17" s="53"/>
      <c r="AD17" s="53"/>
      <c r="AE17" s="53" t="s">
        <v>225</v>
      </c>
      <c r="AF17" s="31" t="s">
        <v>231</v>
      </c>
      <c r="AG17" s="53" t="b">
        <v>0</v>
      </c>
      <c r="AH17" s="31" t="b">
        <v>0</v>
      </c>
      <c r="AI17" s="31"/>
      <c r="AJ17" s="53" t="s">
        <v>340</v>
      </c>
      <c r="AK17" s="31" t="s">
        <v>353</v>
      </c>
      <c r="AL17" s="53"/>
      <c r="AM17" s="53" t="s">
        <v>337</v>
      </c>
      <c r="AN17" s="33">
        <v>42110</v>
      </c>
      <c r="AO17" s="53"/>
      <c r="AP17" s="31" t="s">
        <v>342</v>
      </c>
      <c r="AQ17" s="31" t="s">
        <v>297</v>
      </c>
      <c r="AR17" s="53"/>
      <c r="AS17" s="53"/>
      <c r="AT17" s="53"/>
      <c r="AU17" s="53"/>
      <c r="AV17" s="31" t="s">
        <v>336</v>
      </c>
      <c r="AW17" s="31"/>
    </row>
    <row r="18" spans="1:49">
      <c r="A18" s="31">
        <v>455</v>
      </c>
      <c r="B18" s="31" t="s">
        <v>366</v>
      </c>
      <c r="C18" s="31" t="s">
        <v>358</v>
      </c>
      <c r="D18" s="31" t="s">
        <v>78</v>
      </c>
      <c r="E18" s="31" t="s">
        <v>335</v>
      </c>
      <c r="F18" s="33">
        <v>41888</v>
      </c>
      <c r="G18" s="31" t="s">
        <v>366</v>
      </c>
      <c r="H18" s="31" t="s">
        <v>297</v>
      </c>
      <c r="I18" s="31" t="s">
        <v>336</v>
      </c>
      <c r="J18" s="31" t="s">
        <v>337</v>
      </c>
      <c r="K18" s="31">
        <v>0</v>
      </c>
      <c r="L18" s="53">
        <v>0</v>
      </c>
      <c r="M18" s="31" t="s">
        <v>337</v>
      </c>
      <c r="N18" s="53"/>
      <c r="O18" s="31" t="b">
        <v>0</v>
      </c>
      <c r="P18" s="53"/>
      <c r="Q18" s="31" t="b">
        <v>1</v>
      </c>
      <c r="R18" s="31" t="s">
        <v>288</v>
      </c>
      <c r="S18" s="31" t="s">
        <v>293</v>
      </c>
      <c r="T18" s="31" t="s">
        <v>289</v>
      </c>
      <c r="U18" s="31" t="s">
        <v>290</v>
      </c>
      <c r="V18" s="31" t="s">
        <v>291</v>
      </c>
      <c r="W18" s="31" t="s">
        <v>53</v>
      </c>
      <c r="X18" s="31" t="str">
        <f>IF(VLOOKUP(AF18,'WaterHeater Technology'!$A$8:$S$103,19,FALSE)&gt;0,AF18,"")</f>
        <v/>
      </c>
      <c r="Y18" s="31" t="str">
        <f>IF(VLOOKUP(AE18,'WaterHeater Technology'!$A$8:$S$103,19,FALSE)&gt;0,AE18,"")</f>
        <v/>
      </c>
      <c r="Z18" s="31" t="s">
        <v>353</v>
      </c>
      <c r="AA18" s="31" t="s">
        <v>363</v>
      </c>
      <c r="AB18" s="53"/>
      <c r="AC18" s="53"/>
      <c r="AD18" s="53"/>
      <c r="AE18" s="53" t="s">
        <v>225</v>
      </c>
      <c r="AF18" s="31" t="s">
        <v>233</v>
      </c>
      <c r="AG18" s="53" t="b">
        <v>0</v>
      </c>
      <c r="AH18" s="31" t="b">
        <v>0</v>
      </c>
      <c r="AI18" s="31"/>
      <c r="AJ18" s="53" t="s">
        <v>340</v>
      </c>
      <c r="AK18" s="31" t="s">
        <v>353</v>
      </c>
      <c r="AL18" s="53"/>
      <c r="AM18" s="53" t="s">
        <v>337</v>
      </c>
      <c r="AN18" s="33">
        <v>42110</v>
      </c>
      <c r="AO18" s="53"/>
      <c r="AP18" s="31" t="s">
        <v>342</v>
      </c>
      <c r="AQ18" s="31" t="s">
        <v>297</v>
      </c>
      <c r="AR18" s="53"/>
      <c r="AS18" s="53"/>
      <c r="AT18" s="53"/>
      <c r="AU18" s="53"/>
      <c r="AV18" s="31" t="s">
        <v>336</v>
      </c>
      <c r="AW18" s="31"/>
    </row>
    <row r="19" spans="1:49">
      <c r="A19" s="31">
        <v>456</v>
      </c>
      <c r="B19" s="31" t="s">
        <v>367</v>
      </c>
      <c r="C19" s="31" t="s">
        <v>362</v>
      </c>
      <c r="D19" s="31" t="s">
        <v>78</v>
      </c>
      <c r="E19" s="31" t="s">
        <v>335</v>
      </c>
      <c r="F19" s="33">
        <v>41888</v>
      </c>
      <c r="G19" s="31" t="s">
        <v>367</v>
      </c>
      <c r="H19" s="31" t="s">
        <v>297</v>
      </c>
      <c r="I19" s="31" t="s">
        <v>336</v>
      </c>
      <c r="J19" s="31" t="s">
        <v>337</v>
      </c>
      <c r="K19" s="31">
        <v>0</v>
      </c>
      <c r="L19" s="53">
        <v>0</v>
      </c>
      <c r="M19" s="31" t="s">
        <v>337</v>
      </c>
      <c r="N19" s="53"/>
      <c r="O19" s="31" t="b">
        <v>0</v>
      </c>
      <c r="P19" s="53"/>
      <c r="Q19" s="31" t="b">
        <v>1</v>
      </c>
      <c r="R19" s="31" t="s">
        <v>288</v>
      </c>
      <c r="S19" s="31" t="s">
        <v>293</v>
      </c>
      <c r="T19" s="31" t="s">
        <v>289</v>
      </c>
      <c r="U19" s="31" t="s">
        <v>290</v>
      </c>
      <c r="V19" s="31" t="s">
        <v>291</v>
      </c>
      <c r="W19" s="31" t="s">
        <v>53</v>
      </c>
      <c r="X19" s="31" t="str">
        <f>IF(VLOOKUP(AF19,'WaterHeater Technology'!$A$8:$S$103,19,FALSE)&gt;0,AF19,"")</f>
        <v/>
      </c>
      <c r="Y19" s="31" t="str">
        <f>IF(VLOOKUP(AE19,'WaterHeater Technology'!$A$8:$S$103,19,FALSE)&gt;0,AE19,"")</f>
        <v/>
      </c>
      <c r="Z19" s="31" t="s">
        <v>353</v>
      </c>
      <c r="AA19" s="31" t="s">
        <v>339</v>
      </c>
      <c r="AB19" s="53"/>
      <c r="AC19" s="53"/>
      <c r="AD19" s="53"/>
      <c r="AE19" s="53" t="s">
        <v>244</v>
      </c>
      <c r="AF19" s="31" t="s">
        <v>246</v>
      </c>
      <c r="AG19" s="53" t="b">
        <v>0</v>
      </c>
      <c r="AH19" s="31" t="b">
        <v>0</v>
      </c>
      <c r="AI19" s="31"/>
      <c r="AJ19" s="53" t="s">
        <v>340</v>
      </c>
      <c r="AK19" s="31" t="s">
        <v>353</v>
      </c>
      <c r="AL19" s="53"/>
      <c r="AM19" s="53" t="s">
        <v>337</v>
      </c>
      <c r="AN19" s="33">
        <v>42110</v>
      </c>
      <c r="AO19" s="53"/>
      <c r="AP19" s="31" t="s">
        <v>342</v>
      </c>
      <c r="AQ19" s="31" t="s">
        <v>297</v>
      </c>
      <c r="AR19" s="53"/>
      <c r="AS19" s="53"/>
      <c r="AT19" s="53"/>
      <c r="AU19" s="53"/>
      <c r="AV19" s="31" t="s">
        <v>336</v>
      </c>
      <c r="AW19" s="31"/>
    </row>
    <row r="20" spans="1:49">
      <c r="A20" s="31">
        <v>457</v>
      </c>
      <c r="B20" s="31" t="s">
        <v>368</v>
      </c>
      <c r="C20" s="31" t="s">
        <v>365</v>
      </c>
      <c r="D20" s="31" t="s">
        <v>78</v>
      </c>
      <c r="E20" s="31" t="s">
        <v>335</v>
      </c>
      <c r="F20" s="33">
        <v>41888</v>
      </c>
      <c r="G20" s="31" t="s">
        <v>368</v>
      </c>
      <c r="H20" s="31" t="s">
        <v>297</v>
      </c>
      <c r="I20" s="31" t="s">
        <v>336</v>
      </c>
      <c r="J20" s="31" t="s">
        <v>337</v>
      </c>
      <c r="K20" s="31">
        <v>0</v>
      </c>
      <c r="L20" s="53">
        <v>0</v>
      </c>
      <c r="M20" s="31" t="s">
        <v>337</v>
      </c>
      <c r="N20" s="53"/>
      <c r="O20" s="31" t="b">
        <v>0</v>
      </c>
      <c r="P20" s="53"/>
      <c r="Q20" s="31" t="b">
        <v>1</v>
      </c>
      <c r="R20" s="31" t="s">
        <v>288</v>
      </c>
      <c r="S20" s="31" t="s">
        <v>293</v>
      </c>
      <c r="T20" s="31" t="s">
        <v>289</v>
      </c>
      <c r="U20" s="31" t="s">
        <v>290</v>
      </c>
      <c r="V20" s="31" t="s">
        <v>291</v>
      </c>
      <c r="W20" s="31" t="s">
        <v>53</v>
      </c>
      <c r="X20" s="31" t="str">
        <f>IF(VLOOKUP(AF20,'WaterHeater Technology'!$A$8:$S$103,19,FALSE)&gt;0,AF20,"")</f>
        <v/>
      </c>
      <c r="Y20" s="31" t="str">
        <f>IF(VLOOKUP(AE20,'WaterHeater Technology'!$A$8:$S$103,19,FALSE)&gt;0,AE20,"")</f>
        <v/>
      </c>
      <c r="Z20" s="31" t="s">
        <v>353</v>
      </c>
      <c r="AA20" s="31" t="s">
        <v>339</v>
      </c>
      <c r="AB20" s="53"/>
      <c r="AC20" s="53"/>
      <c r="AD20" s="53"/>
      <c r="AE20" s="53" t="s">
        <v>244</v>
      </c>
      <c r="AF20" s="31" t="s">
        <v>250</v>
      </c>
      <c r="AG20" s="53" t="b">
        <v>0</v>
      </c>
      <c r="AH20" s="31" t="b">
        <v>0</v>
      </c>
      <c r="AI20" s="31"/>
      <c r="AJ20" s="53" t="s">
        <v>340</v>
      </c>
      <c r="AK20" s="31" t="s">
        <v>353</v>
      </c>
      <c r="AL20" s="53"/>
      <c r="AM20" s="53" t="s">
        <v>337</v>
      </c>
      <c r="AN20" s="33">
        <v>42110</v>
      </c>
      <c r="AO20" s="53"/>
      <c r="AP20" s="31" t="s">
        <v>342</v>
      </c>
      <c r="AQ20" s="31" t="s">
        <v>297</v>
      </c>
      <c r="AR20" s="53"/>
      <c r="AS20" s="53"/>
      <c r="AT20" s="53"/>
      <c r="AU20" s="53"/>
      <c r="AV20" s="31" t="s">
        <v>336</v>
      </c>
      <c r="AW20" s="31"/>
    </row>
    <row r="21" spans="1:49">
      <c r="A21" s="31">
        <v>458</v>
      </c>
      <c r="B21" s="31" t="s">
        <v>369</v>
      </c>
      <c r="C21" s="31" t="s">
        <v>358</v>
      </c>
      <c r="D21" s="31" t="s">
        <v>78</v>
      </c>
      <c r="E21" s="31" t="s">
        <v>335</v>
      </c>
      <c r="F21" s="33">
        <v>41888</v>
      </c>
      <c r="G21" s="31" t="s">
        <v>369</v>
      </c>
      <c r="H21" s="31" t="s">
        <v>297</v>
      </c>
      <c r="I21" s="31" t="s">
        <v>336</v>
      </c>
      <c r="J21" s="31" t="s">
        <v>337</v>
      </c>
      <c r="K21" s="31">
        <v>0</v>
      </c>
      <c r="L21" s="53">
        <v>0</v>
      </c>
      <c r="M21" s="31" t="s">
        <v>337</v>
      </c>
      <c r="N21" s="53"/>
      <c r="O21" s="31" t="b">
        <v>0</v>
      </c>
      <c r="P21" s="53"/>
      <c r="Q21" s="31" t="b">
        <v>1</v>
      </c>
      <c r="R21" s="31" t="s">
        <v>288</v>
      </c>
      <c r="S21" s="31" t="s">
        <v>293</v>
      </c>
      <c r="T21" s="31" t="s">
        <v>289</v>
      </c>
      <c r="U21" s="31" t="s">
        <v>290</v>
      </c>
      <c r="V21" s="31" t="s">
        <v>291</v>
      </c>
      <c r="W21" s="31" t="s">
        <v>53</v>
      </c>
      <c r="X21" s="31" t="str">
        <f>IF(VLOOKUP(AF21,'WaterHeater Technology'!$A$8:$S$103,19,FALSE)&gt;0,AF21,"")</f>
        <v/>
      </c>
      <c r="Y21" s="31" t="str">
        <f>IF(VLOOKUP(AE21,'WaterHeater Technology'!$A$8:$S$103,19,FALSE)&gt;0,AE21,"")</f>
        <v/>
      </c>
      <c r="Z21" s="31" t="s">
        <v>353</v>
      </c>
      <c r="AA21" s="31" t="s">
        <v>339</v>
      </c>
      <c r="AB21" s="53"/>
      <c r="AC21" s="53"/>
      <c r="AD21" s="53"/>
      <c r="AE21" s="53" t="s">
        <v>244</v>
      </c>
      <c r="AF21" s="31" t="s">
        <v>252</v>
      </c>
      <c r="AG21" s="53" t="b">
        <v>0</v>
      </c>
      <c r="AH21" s="31" t="b">
        <v>0</v>
      </c>
      <c r="AI21" s="31"/>
      <c r="AJ21" s="53" t="s">
        <v>340</v>
      </c>
      <c r="AK21" s="31" t="s">
        <v>353</v>
      </c>
      <c r="AL21" s="53"/>
      <c r="AM21" s="53" t="s">
        <v>337</v>
      </c>
      <c r="AN21" s="33">
        <v>42110</v>
      </c>
      <c r="AO21" s="53"/>
      <c r="AP21" s="31" t="s">
        <v>342</v>
      </c>
      <c r="AQ21" s="31" t="s">
        <v>297</v>
      </c>
      <c r="AR21" s="53"/>
      <c r="AS21" s="53"/>
      <c r="AT21" s="53"/>
      <c r="AU21" s="53"/>
      <c r="AV21" s="31" t="s">
        <v>336</v>
      </c>
      <c r="AW21" s="31"/>
    </row>
  </sheetData>
  <autoFilter ref="A7:AV7" xr:uid="{00000000-0009-0000-0000-000004000000}">
    <sortState xmlns:xlrd2="http://schemas.microsoft.com/office/spreadsheetml/2017/richdata2" ref="A8:AW37">
      <sortCondition ref="B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Reeves</dc:creator>
  <cp:keywords/>
  <dc:description/>
  <cp:lastModifiedBy>X</cp:lastModifiedBy>
  <cp:revision/>
  <dcterms:created xsi:type="dcterms:W3CDTF">2015-06-17T23:16:09Z</dcterms:created>
  <dcterms:modified xsi:type="dcterms:W3CDTF">2022-04-06T21:58:07Z</dcterms:modified>
  <cp:category/>
  <cp:contentStatus/>
</cp:coreProperties>
</file>