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31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895\AC\Temp\"/>
    </mc:Choice>
  </mc:AlternateContent>
  <xr:revisionPtr revIDLastSave="0" documentId="8_{ABB5CDF0-4992-4B15-881D-636043AE09BD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Intro" sheetId="5" r:id="rId1"/>
    <sheet name="CostModel Coef" sheetId="4" r:id="rId2"/>
    <sheet name="pkg Technology" sheetId="1" r:id="rId3"/>
    <sheet name="boiler Technology" sheetId="8" r:id="rId4"/>
    <sheet name="MeasureCost" sheetId="7" r:id="rId5"/>
    <sheet name="Measure" sheetId="9" r:id="rId6"/>
    <sheet name="techParams" sheetId="2" state="hidden" r:id="rId7"/>
    <sheet name="ParamLists" sheetId="3" state="hidden" r:id="rId8"/>
  </sheets>
  <definedNames>
    <definedName name="_xlnm._FilterDatabase" localSheetId="5" hidden="1">Measure!$A$7:$AW$92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U126" i="9" l="1"/>
  <c r="BU125" i="9"/>
  <c r="BU124" i="9"/>
  <c r="BU123" i="9"/>
  <c r="BU122" i="9"/>
  <c r="BU121" i="9"/>
  <c r="BU120" i="9"/>
  <c r="BU119" i="9"/>
  <c r="BU118" i="9"/>
  <c r="BU117" i="9"/>
  <c r="BU116" i="9"/>
  <c r="BU115" i="9"/>
  <c r="BU114" i="9"/>
  <c r="BU113" i="9"/>
  <c r="BU112" i="9"/>
  <c r="BU111" i="9"/>
  <c r="BU110" i="9"/>
  <c r="BU109" i="9"/>
  <c r="BU108" i="9"/>
  <c r="BU107" i="9"/>
  <c r="BU106" i="9"/>
  <c r="BU105" i="9"/>
  <c r="BU104" i="9"/>
  <c r="BU103" i="9"/>
  <c r="BU102" i="9"/>
  <c r="BU101" i="9"/>
  <c r="BU100" i="9"/>
  <c r="BU99" i="9"/>
  <c r="BU98" i="9"/>
  <c r="BU97" i="9"/>
  <c r="BU96" i="9"/>
  <c r="BU95" i="9"/>
  <c r="BU94" i="9"/>
  <c r="BT126" i="9"/>
  <c r="BT125" i="9"/>
  <c r="BT124" i="9"/>
  <c r="BT123" i="9"/>
  <c r="BT122" i="9"/>
  <c r="BT121" i="9"/>
  <c r="BT120" i="9"/>
  <c r="BT119" i="9"/>
  <c r="BT118" i="9"/>
  <c r="BT117" i="9"/>
  <c r="BT116" i="9"/>
  <c r="BT115" i="9"/>
  <c r="BT114" i="9"/>
  <c r="BT113" i="9"/>
  <c r="BT112" i="9"/>
  <c r="BT111" i="9"/>
  <c r="BT110" i="9"/>
  <c r="BT109" i="9"/>
  <c r="BT108" i="9"/>
  <c r="BT107" i="9"/>
  <c r="BT106" i="9"/>
  <c r="BT105" i="9"/>
  <c r="BT104" i="9"/>
  <c r="BT103" i="9"/>
  <c r="BT102" i="9"/>
  <c r="BT101" i="9"/>
  <c r="BT100" i="9"/>
  <c r="BT99" i="9"/>
  <c r="BT98" i="9"/>
  <c r="BT97" i="9"/>
  <c r="BT96" i="9"/>
  <c r="BT95" i="9"/>
  <c r="BT94" i="9"/>
  <c r="BK126" i="9"/>
  <c r="BK125" i="9"/>
  <c r="BK124" i="9"/>
  <c r="BK123" i="9"/>
  <c r="BK122" i="9"/>
  <c r="BK119" i="9"/>
  <c r="BK118" i="9"/>
  <c r="BK117" i="9"/>
  <c r="BK116" i="9"/>
  <c r="BK115" i="9"/>
  <c r="BK114" i="9"/>
  <c r="BK113" i="9"/>
  <c r="BK112" i="9"/>
  <c r="BK111" i="9"/>
  <c r="BK110" i="9"/>
  <c r="BK109" i="9"/>
  <c r="BK108" i="9"/>
  <c r="BK107" i="9"/>
  <c r="BK106" i="9"/>
  <c r="BK105" i="9"/>
  <c r="BK104" i="9"/>
  <c r="BK96" i="9"/>
  <c r="BK95" i="9"/>
  <c r="BK94" i="9"/>
  <c r="BK92" i="9"/>
  <c r="BK91" i="9"/>
  <c r="BK90" i="9"/>
  <c r="BK89" i="9"/>
  <c r="BK88" i="9"/>
  <c r="BK87" i="9"/>
  <c r="BK86" i="9"/>
  <c r="BK85" i="9"/>
  <c r="BK84" i="9"/>
  <c r="BK83" i="9"/>
  <c r="BK82" i="9"/>
  <c r="BK81" i="9"/>
  <c r="BK80" i="9"/>
  <c r="BK79" i="9"/>
  <c r="BK78" i="9"/>
  <c r="BK77" i="9"/>
  <c r="BK76" i="9"/>
  <c r="BK75" i="9"/>
  <c r="BK74" i="9"/>
  <c r="BK73" i="9"/>
  <c r="BK72" i="9"/>
  <c r="BK71" i="9"/>
  <c r="BK70" i="9"/>
  <c r="BK69" i="9"/>
  <c r="BK68" i="9"/>
  <c r="BK64" i="9"/>
  <c r="BK63" i="9"/>
  <c r="BK62" i="9"/>
  <c r="BK61" i="9"/>
  <c r="BK57" i="9"/>
  <c r="BK56" i="9"/>
  <c r="BK55" i="9"/>
  <c r="BK54" i="9"/>
  <c r="BK53" i="9"/>
  <c r="BK52" i="9"/>
  <c r="BK51" i="9"/>
  <c r="BK50" i="9"/>
  <c r="BK49" i="9"/>
  <c r="BK48" i="9"/>
  <c r="BK47" i="9"/>
  <c r="BK46" i="9"/>
  <c r="BK45" i="9"/>
  <c r="BK44" i="9"/>
  <c r="BK43" i="9"/>
  <c r="BK42" i="9"/>
  <c r="BK41" i="9"/>
  <c r="BK40" i="9"/>
  <c r="BK39" i="9"/>
  <c r="BK38" i="9"/>
  <c r="BK37" i="9"/>
  <c r="BK36" i="9"/>
  <c r="BK35" i="9"/>
  <c r="BK34" i="9"/>
  <c r="BK33" i="9"/>
  <c r="BK32" i="9"/>
  <c r="BK31" i="9"/>
  <c r="BK30" i="9"/>
  <c r="BK29" i="9"/>
  <c r="BK28" i="9"/>
  <c r="BK27" i="9"/>
  <c r="BK26" i="9"/>
  <c r="BK25" i="9"/>
  <c r="BK24" i="9"/>
  <c r="BK23" i="9"/>
  <c r="BK22" i="9"/>
  <c r="BK21" i="9"/>
  <c r="BK20" i="9"/>
  <c r="BK19" i="9"/>
  <c r="BK18" i="9"/>
  <c r="BK17" i="9"/>
  <c r="BK16" i="9"/>
  <c r="BK15" i="9"/>
  <c r="BK14" i="9"/>
  <c r="BK13" i="9"/>
  <c r="BK12" i="9"/>
  <c r="BK11" i="9"/>
  <c r="BK10" i="9"/>
  <c r="BK9" i="9"/>
  <c r="BK8" i="9"/>
  <c r="R19" i="4"/>
  <c r="Y92" i="9"/>
  <c r="Y91" i="9"/>
  <c r="Y90" i="9"/>
  <c r="Y89" i="9"/>
  <c r="Y88" i="9"/>
  <c r="Y87" i="9"/>
  <c r="Y86" i="9"/>
  <c r="Y85" i="9"/>
  <c r="Y84" i="9"/>
  <c r="Y83" i="9"/>
  <c r="Y82" i="9"/>
  <c r="Y81" i="9"/>
  <c r="Y80" i="9"/>
  <c r="Y79" i="9"/>
  <c r="Y78" i="9"/>
  <c r="Y77" i="9"/>
  <c r="Y76" i="9"/>
  <c r="Y75" i="9"/>
  <c r="Y74" i="9"/>
  <c r="Y73" i="9"/>
  <c r="Y72" i="9"/>
  <c r="Y71" i="9"/>
  <c r="Y70" i="9"/>
  <c r="Y69" i="9"/>
  <c r="Y68" i="9"/>
  <c r="Y67" i="9"/>
  <c r="Y66" i="9"/>
  <c r="Y65" i="9"/>
  <c r="Y64" i="9"/>
  <c r="Y63" i="9"/>
  <c r="Y62" i="9"/>
  <c r="Y61" i="9"/>
  <c r="Y60" i="9"/>
  <c r="Y59" i="9"/>
  <c r="Y58" i="9"/>
  <c r="Y57" i="9"/>
  <c r="Y56" i="9"/>
  <c r="Y55" i="9"/>
  <c r="Y54" i="9"/>
  <c r="Y53" i="9"/>
  <c r="Y52" i="9"/>
  <c r="Y51" i="9"/>
  <c r="Y50" i="9"/>
  <c r="Y49" i="9"/>
  <c r="Y48" i="9"/>
  <c r="Y47" i="9"/>
  <c r="Y46" i="9"/>
  <c r="Y45" i="9"/>
  <c r="Y44" i="9"/>
  <c r="Y43" i="9"/>
  <c r="Y42" i="9"/>
  <c r="Y41" i="9"/>
  <c r="Y40" i="9"/>
  <c r="Y39" i="9"/>
  <c r="Y38" i="9"/>
  <c r="Y37" i="9"/>
  <c r="Y36" i="9"/>
  <c r="Y35" i="9"/>
  <c r="Y34" i="9"/>
  <c r="Y33" i="9"/>
  <c r="Y32" i="9"/>
  <c r="Y31" i="9"/>
  <c r="Y30" i="9"/>
  <c r="Y29" i="9"/>
  <c r="Y28" i="9"/>
  <c r="Y27" i="9"/>
  <c r="Y26" i="9"/>
  <c r="Y25" i="9"/>
  <c r="Y24" i="9"/>
  <c r="Y23" i="9"/>
  <c r="Y22" i="9"/>
  <c r="Y21" i="9"/>
  <c r="Y20" i="9"/>
  <c r="Y19" i="9"/>
  <c r="Y18" i="9"/>
  <c r="Y17" i="9"/>
  <c r="Y16" i="9"/>
  <c r="Y15" i="9"/>
  <c r="Y14" i="9"/>
  <c r="Y13" i="9"/>
  <c r="Y12" i="9"/>
  <c r="Y11" i="9"/>
  <c r="Y10" i="9"/>
  <c r="Y9" i="9"/>
  <c r="Y8" i="9"/>
  <c r="X92" i="9"/>
  <c r="X91" i="9"/>
  <c r="X90" i="9"/>
  <c r="X89" i="9"/>
  <c r="X88" i="9"/>
  <c r="X87" i="9"/>
  <c r="X86" i="9"/>
  <c r="X85" i="9"/>
  <c r="X84" i="9"/>
  <c r="X83" i="9"/>
  <c r="X82" i="9"/>
  <c r="X81" i="9"/>
  <c r="X80" i="9"/>
  <c r="X79" i="9"/>
  <c r="X78" i="9"/>
  <c r="X77" i="9"/>
  <c r="X76" i="9"/>
  <c r="X75" i="9"/>
  <c r="X74" i="9"/>
  <c r="X73" i="9"/>
  <c r="X72" i="9"/>
  <c r="X71" i="9"/>
  <c r="X70" i="9"/>
  <c r="X69" i="9"/>
  <c r="X68" i="9"/>
  <c r="X67" i="9"/>
  <c r="X66" i="9"/>
  <c r="X65" i="9"/>
  <c r="X64" i="9"/>
  <c r="X63" i="9"/>
  <c r="X62" i="9"/>
  <c r="X61" i="9"/>
  <c r="X60" i="9"/>
  <c r="X59" i="9"/>
  <c r="X58" i="9"/>
  <c r="X57" i="9"/>
  <c r="X56" i="9"/>
  <c r="X55" i="9"/>
  <c r="X54" i="9"/>
  <c r="X53" i="9"/>
  <c r="X52" i="9"/>
  <c r="X51" i="9"/>
  <c r="X50" i="9"/>
  <c r="X49" i="9"/>
  <c r="X48" i="9"/>
  <c r="X47" i="9"/>
  <c r="X46" i="9"/>
  <c r="X45" i="9"/>
  <c r="X44" i="9"/>
  <c r="X43" i="9"/>
  <c r="X42" i="9"/>
  <c r="X41" i="9"/>
  <c r="X40" i="9"/>
  <c r="X39" i="9"/>
  <c r="X38" i="9"/>
  <c r="X37" i="9"/>
  <c r="X36" i="9"/>
  <c r="X35" i="9"/>
  <c r="X34" i="9"/>
  <c r="X33" i="9"/>
  <c r="X32" i="9"/>
  <c r="X31" i="9"/>
  <c r="X30" i="9"/>
  <c r="X29" i="9"/>
  <c r="X28" i="9"/>
  <c r="X27" i="9"/>
  <c r="X26" i="9"/>
  <c r="X25" i="9"/>
  <c r="X24" i="9"/>
  <c r="X23" i="9"/>
  <c r="X22" i="9"/>
  <c r="X21" i="9"/>
  <c r="X20" i="9"/>
  <c r="X19" i="9"/>
  <c r="X18" i="9"/>
  <c r="X17" i="9"/>
  <c r="X16" i="9"/>
  <c r="X15" i="9"/>
  <c r="X14" i="9"/>
  <c r="X13" i="9"/>
  <c r="X12" i="9"/>
  <c r="X11" i="9"/>
  <c r="X10" i="9"/>
  <c r="X9" i="9"/>
  <c r="X8" i="9"/>
  <c r="N46" i="5"/>
  <c r="N45" i="5"/>
  <c r="N44" i="5"/>
  <c r="U21" i="4"/>
  <c r="T21" i="4"/>
  <c r="S21" i="4"/>
  <c r="R21" i="4"/>
  <c r="U20" i="4"/>
  <c r="T20" i="4"/>
  <c r="S20" i="4"/>
  <c r="R20" i="4"/>
  <c r="U19" i="4"/>
  <c r="T19" i="4"/>
  <c r="S19" i="4"/>
  <c r="U18" i="4"/>
  <c r="T18" i="4"/>
  <c r="S18" i="4"/>
  <c r="R18" i="4"/>
  <c r="AC38" i="8"/>
  <c r="V38" i="8"/>
  <c r="S8" i="8"/>
  <c r="R8" i="8"/>
  <c r="T8" i="8"/>
  <c r="S46" i="8"/>
  <c r="S45" i="8"/>
  <c r="S44" i="8"/>
  <c r="R44" i="8"/>
  <c r="S43" i="8"/>
  <c r="S42" i="8"/>
  <c r="S41" i="8"/>
  <c r="S40" i="8"/>
  <c r="S39" i="8"/>
  <c r="S38" i="8"/>
  <c r="R38" i="8"/>
  <c r="S37" i="8"/>
  <c r="S36" i="8"/>
  <c r="R36" i="8"/>
  <c r="S35" i="8"/>
  <c r="S34" i="8"/>
  <c r="S33" i="8"/>
  <c r="R33" i="8"/>
  <c r="S32" i="8"/>
  <c r="S31" i="8"/>
  <c r="S30" i="8"/>
  <c r="R30" i="8"/>
  <c r="S29" i="8"/>
  <c r="S28" i="8"/>
  <c r="R28" i="8"/>
  <c r="S27" i="8"/>
  <c r="S26" i="8"/>
  <c r="S25" i="8"/>
  <c r="S24" i="8"/>
  <c r="R24" i="8"/>
  <c r="S23" i="8"/>
  <c r="S22" i="8"/>
  <c r="S21" i="8"/>
  <c r="T21" i="8"/>
  <c r="S20" i="8"/>
  <c r="S19" i="8"/>
  <c r="S18" i="8"/>
  <c r="T18" i="8"/>
  <c r="S17" i="8"/>
  <c r="S16" i="8"/>
  <c r="R16" i="8"/>
  <c r="S15" i="8"/>
  <c r="S14" i="8"/>
  <c r="S13" i="8"/>
  <c r="S12" i="8"/>
  <c r="S11" i="8"/>
  <c r="S10" i="8"/>
  <c r="S9" i="8"/>
  <c r="L13" i="4"/>
  <c r="K13" i="4"/>
  <c r="L12" i="4"/>
  <c r="L11" i="4"/>
  <c r="K11" i="4"/>
  <c r="L10" i="4"/>
  <c r="K10" i="4"/>
  <c r="L9" i="4"/>
  <c r="K9" i="4"/>
  <c r="K12" i="4"/>
  <c r="J13" i="4"/>
  <c r="J12" i="4"/>
  <c r="J11" i="4"/>
  <c r="J10" i="4"/>
  <c r="J9" i="4"/>
  <c r="V132" i="1"/>
  <c r="X132" i="1"/>
  <c r="V131" i="1"/>
  <c r="AF131" i="1" s="1"/>
  <c r="Z79" i="7" s="1"/>
  <c r="AZ70" i="9" s="1"/>
  <c r="X131" i="1"/>
  <c r="V130" i="1"/>
  <c r="X130" i="1"/>
  <c r="V129" i="1"/>
  <c r="Y129" i="1"/>
  <c r="V128" i="1"/>
  <c r="X128" i="1"/>
  <c r="V127" i="1"/>
  <c r="V126" i="1"/>
  <c r="AE126" i="1"/>
  <c r="V125" i="1"/>
  <c r="Z125" i="1"/>
  <c r="V124" i="1"/>
  <c r="V123" i="1"/>
  <c r="Z123" i="1"/>
  <c r="X123" i="1"/>
  <c r="V122" i="1"/>
  <c r="X122" i="1"/>
  <c r="V121" i="1"/>
  <c r="AF121" i="1"/>
  <c r="Z73" i="7"/>
  <c r="AZ82" i="9"/>
  <c r="V120" i="1"/>
  <c r="AF120" i="1"/>
  <c r="Z72" i="7"/>
  <c r="V119" i="1"/>
  <c r="V118" i="1"/>
  <c r="AF118" i="1"/>
  <c r="Z70" i="7" s="1"/>
  <c r="V117" i="1"/>
  <c r="V116" i="1"/>
  <c r="AF116" i="1"/>
  <c r="Z68" i="7"/>
  <c r="AZ86" i="9" s="1"/>
  <c r="V115" i="1"/>
  <c r="X115" i="1"/>
  <c r="V114" i="1"/>
  <c r="V110" i="1"/>
  <c r="AF110" i="1"/>
  <c r="V109" i="1"/>
  <c r="X109" i="1"/>
  <c r="V108" i="1"/>
  <c r="X108" i="1"/>
  <c r="V107" i="1"/>
  <c r="V106" i="1"/>
  <c r="V105" i="1"/>
  <c r="X105" i="1"/>
  <c r="V104" i="1"/>
  <c r="V103" i="1"/>
  <c r="V102" i="1"/>
  <c r="V101" i="1"/>
  <c r="V97" i="1"/>
  <c r="V96" i="1"/>
  <c r="Z96" i="1"/>
  <c r="V95" i="1"/>
  <c r="Z95" i="1"/>
  <c r="V94" i="1"/>
  <c r="Z94" i="1"/>
  <c r="V93" i="1"/>
  <c r="X93" i="1"/>
  <c r="V92" i="1"/>
  <c r="AE92" i="1"/>
  <c r="Y55" i="7"/>
  <c r="AY62" i="9"/>
  <c r="V91" i="1"/>
  <c r="V90" i="1"/>
  <c r="Y90" i="1"/>
  <c r="V89" i="1"/>
  <c r="V88" i="1"/>
  <c r="V87" i="1"/>
  <c r="X87" i="1"/>
  <c r="V86" i="1"/>
  <c r="V85" i="1"/>
  <c r="X85" i="1"/>
  <c r="V84" i="1"/>
  <c r="AE84" i="1"/>
  <c r="V83" i="1"/>
  <c r="V82" i="1"/>
  <c r="Z82" i="1"/>
  <c r="V81" i="1"/>
  <c r="V80" i="1"/>
  <c r="V79" i="1"/>
  <c r="AE79" i="1"/>
  <c r="Y47" i="7"/>
  <c r="V78" i="1"/>
  <c r="X78" i="1"/>
  <c r="V77" i="1"/>
  <c r="Y77" i="1"/>
  <c r="V76" i="1"/>
  <c r="V75" i="1"/>
  <c r="X75" i="1"/>
  <c r="V74" i="1"/>
  <c r="X74" i="1"/>
  <c r="V73" i="1"/>
  <c r="V72" i="1"/>
  <c r="V71" i="1"/>
  <c r="X71" i="1"/>
  <c r="V70" i="1"/>
  <c r="X70" i="1"/>
  <c r="V69" i="1"/>
  <c r="X69" i="1"/>
  <c r="V68" i="1"/>
  <c r="V67" i="1"/>
  <c r="V66" i="1"/>
  <c r="V65" i="1"/>
  <c r="V64" i="1"/>
  <c r="V63" i="1"/>
  <c r="X63" i="1"/>
  <c r="V62" i="1"/>
  <c r="X62" i="1"/>
  <c r="AF62" i="1"/>
  <c r="Z32" i="7"/>
  <c r="V61" i="1"/>
  <c r="V60" i="1"/>
  <c r="X60" i="1"/>
  <c r="V59" i="1"/>
  <c r="V58" i="1"/>
  <c r="V57" i="1"/>
  <c r="AF57" i="1"/>
  <c r="Z19" i="7" s="1"/>
  <c r="V47" i="1"/>
  <c r="V46" i="1"/>
  <c r="V45" i="1"/>
  <c r="V44" i="1"/>
  <c r="Y44" i="1"/>
  <c r="V43" i="1"/>
  <c r="AF43" i="1"/>
  <c r="V42" i="1"/>
  <c r="X42" i="1"/>
  <c r="V41" i="1"/>
  <c r="V40" i="1"/>
  <c r="X40" i="1"/>
  <c r="V39" i="1"/>
  <c r="V38" i="1"/>
  <c r="V37" i="1"/>
  <c r="X37" i="1"/>
  <c r="V36" i="1"/>
  <c r="V35" i="1"/>
  <c r="V34" i="1"/>
  <c r="Y34" i="1"/>
  <c r="V33" i="1"/>
  <c r="V32" i="1"/>
  <c r="V31" i="1"/>
  <c r="Z31" i="1"/>
  <c r="V30" i="1"/>
  <c r="Z30" i="1"/>
  <c r="V29" i="1"/>
  <c r="AE29" i="1"/>
  <c r="V28" i="1"/>
  <c r="V27" i="1"/>
  <c r="V26" i="1"/>
  <c r="AF26" i="1"/>
  <c r="V25" i="1"/>
  <c r="V24" i="1"/>
  <c r="AF24" i="1"/>
  <c r="X24" i="1"/>
  <c r="V23" i="1"/>
  <c r="Z23" i="1"/>
  <c r="V22" i="1"/>
  <c r="V21" i="1"/>
  <c r="Y21" i="1" s="1"/>
  <c r="V20" i="1"/>
  <c r="V19" i="1"/>
  <c r="X19" i="1"/>
  <c r="V18" i="1"/>
  <c r="X18" i="1"/>
  <c r="AF18" i="1"/>
  <c r="Z13" i="7"/>
  <c r="V17" i="1"/>
  <c r="X17" i="1"/>
  <c r="V16" i="1"/>
  <c r="V15" i="1"/>
  <c r="X15" i="1"/>
  <c r="V14" i="1"/>
  <c r="V13" i="1"/>
  <c r="X13" i="1"/>
  <c r="V12" i="1"/>
  <c r="V11" i="1"/>
  <c r="V10" i="1"/>
  <c r="V9" i="1"/>
  <c r="X9" i="1"/>
  <c r="V8" i="1"/>
  <c r="AA22" i="8"/>
  <c r="AB22" i="8"/>
  <c r="AA30" i="8"/>
  <c r="AD30" i="8"/>
  <c r="AB20" i="8"/>
  <c r="AA38" i="8"/>
  <c r="T16" i="8"/>
  <c r="AD16" i="8"/>
  <c r="Z89" i="7" s="1"/>
  <c r="AZ96" i="9" s="1"/>
  <c r="AB38" i="8"/>
  <c r="AD38" i="8"/>
  <c r="X22" i="8"/>
  <c r="W22" i="8"/>
  <c r="X30" i="8"/>
  <c r="W30" i="8"/>
  <c r="AB30" i="8"/>
  <c r="V22" i="8"/>
  <c r="V30" i="8"/>
  <c r="AC28" i="8"/>
  <c r="AD28" i="8"/>
  <c r="X28" i="8"/>
  <c r="AB28" i="8"/>
  <c r="W28" i="8"/>
  <c r="V28" i="8"/>
  <c r="AC36" i="8"/>
  <c r="W36" i="8"/>
  <c r="AB36" i="8"/>
  <c r="AD36" i="8"/>
  <c r="X36" i="8"/>
  <c r="V36" i="8"/>
  <c r="AA36" i="8"/>
  <c r="AC22" i="8"/>
  <c r="X38" i="8"/>
  <c r="W38" i="8"/>
  <c r="AD22" i="8"/>
  <c r="AC20" i="8"/>
  <c r="AD20" i="8"/>
  <c r="X20" i="8"/>
  <c r="W20" i="8"/>
  <c r="V20" i="8"/>
  <c r="AA20" i="8"/>
  <c r="AC30" i="8"/>
  <c r="R41" i="8"/>
  <c r="R26" i="8"/>
  <c r="T26" i="8"/>
  <c r="V26" i="8"/>
  <c r="R42" i="8"/>
  <c r="T42" i="8"/>
  <c r="R27" i="8"/>
  <c r="R35" i="8"/>
  <c r="R43" i="8"/>
  <c r="T43" i="8"/>
  <c r="X43" i="8"/>
  <c r="T33" i="8"/>
  <c r="R37" i="8"/>
  <c r="T37" i="8"/>
  <c r="R45" i="8"/>
  <c r="T45" i="8"/>
  <c r="W45" i="8"/>
  <c r="R25" i="8"/>
  <c r="T25" i="8"/>
  <c r="R31" i="8"/>
  <c r="R39" i="8"/>
  <c r="Y119" i="1"/>
  <c r="AF81" i="1"/>
  <c r="Z49" i="7"/>
  <c r="AF39" i="1"/>
  <c r="Z29" i="7"/>
  <c r="Y25" i="1"/>
  <c r="Y41" i="1"/>
  <c r="AF40" i="1"/>
  <c r="Y57" i="1"/>
  <c r="X116" i="1"/>
  <c r="Z115" i="1"/>
  <c r="AC115" i="1"/>
  <c r="W67" i="7"/>
  <c r="X84" i="1"/>
  <c r="X94" i="1"/>
  <c r="AC94" i="1"/>
  <c r="W57" i="7"/>
  <c r="BC57" i="9"/>
  <c r="X104" i="1"/>
  <c r="X125" i="1"/>
  <c r="AC125" i="1"/>
  <c r="Y110" i="1"/>
  <c r="AF45" i="1"/>
  <c r="X79" i="1"/>
  <c r="AE31" i="1"/>
  <c r="AE119" i="1"/>
  <c r="Y71" i="7"/>
  <c r="X110" i="1"/>
  <c r="Z15" i="1"/>
  <c r="AE40" i="1"/>
  <c r="Z128" i="1"/>
  <c r="AC128" i="1"/>
  <c r="W76" i="7"/>
  <c r="AE74" i="1"/>
  <c r="Y42" i="7" s="1"/>
  <c r="Y70" i="1"/>
  <c r="X30" i="1"/>
  <c r="Y79" i="1"/>
  <c r="AF59" i="1"/>
  <c r="Z21" i="7"/>
  <c r="X129" i="1"/>
  <c r="Z16" i="1"/>
  <c r="X92" i="1"/>
  <c r="X21" i="1"/>
  <c r="AE21" i="1"/>
  <c r="Y15" i="7"/>
  <c r="Z14" i="1"/>
  <c r="Y46" i="1"/>
  <c r="Y88" i="1"/>
  <c r="X88" i="1"/>
  <c r="X8" i="1"/>
  <c r="AF8" i="1"/>
  <c r="AE57" i="1"/>
  <c r="Y19" i="7"/>
  <c r="X57" i="1"/>
  <c r="X65" i="1"/>
  <c r="X81" i="1"/>
  <c r="Y81" i="1"/>
  <c r="AE97" i="1"/>
  <c r="X97" i="1"/>
  <c r="Z108" i="1"/>
  <c r="X127" i="1"/>
  <c r="Y18" i="1"/>
  <c r="Y95" i="1"/>
  <c r="AD95" i="1"/>
  <c r="Y128" i="1"/>
  <c r="AE14" i="1"/>
  <c r="AF74" i="1"/>
  <c r="Z42" i="7"/>
  <c r="AF88" i="1"/>
  <c r="Z53" i="7" s="1"/>
  <c r="AE108" i="1"/>
  <c r="Y65" i="7"/>
  <c r="AY74" i="9"/>
  <c r="AE121" i="1"/>
  <c r="Y73" i="7" s="1"/>
  <c r="Z13" i="1"/>
  <c r="Y14" i="1"/>
  <c r="AD14" i="1"/>
  <c r="Z21" i="1"/>
  <c r="AC21" i="1" s="1"/>
  <c r="Y31" i="1"/>
  <c r="AD31" i="1"/>
  <c r="AF31" i="1"/>
  <c r="X31" i="1"/>
  <c r="AC31" i="1"/>
  <c r="AE107" i="1"/>
  <c r="Y64" i="7"/>
  <c r="AY73" i="9"/>
  <c r="Z107" i="1"/>
  <c r="X107" i="1"/>
  <c r="AE88" i="1"/>
  <c r="Y53" i="7"/>
  <c r="X95" i="1"/>
  <c r="AC95" i="1"/>
  <c r="X66" i="1"/>
  <c r="AE82" i="1"/>
  <c r="Y50" i="7"/>
  <c r="AY40" i="9"/>
  <c r="X82" i="1"/>
  <c r="AC82" i="1" s="1"/>
  <c r="W50" i="7"/>
  <c r="Y82" i="1"/>
  <c r="AD82" i="1"/>
  <c r="U50" i="7"/>
  <c r="BD40" i="9"/>
  <c r="AE90" i="1"/>
  <c r="X90" i="1"/>
  <c r="Z120" i="1"/>
  <c r="X120" i="1"/>
  <c r="Y120" i="1"/>
  <c r="Y97" i="1"/>
  <c r="Z40" i="1"/>
  <c r="AC40" i="1" s="1"/>
  <c r="AE15" i="1"/>
  <c r="Y10" i="7" s="1"/>
  <c r="AF65" i="1"/>
  <c r="Z35" i="7"/>
  <c r="Z89" i="1"/>
  <c r="Z109" i="1"/>
  <c r="AC109" i="1"/>
  <c r="X29" i="1"/>
  <c r="X22" i="1"/>
  <c r="Y22" i="1"/>
  <c r="AF63" i="1"/>
  <c r="Z33" i="7"/>
  <c r="AZ26" i="9"/>
  <c r="Z63" i="1"/>
  <c r="AF79" i="1"/>
  <c r="Z47" i="7"/>
  <c r="Z79" i="1"/>
  <c r="AD79" i="1"/>
  <c r="U47" i="7"/>
  <c r="X23" i="1"/>
  <c r="AE80" i="1"/>
  <c r="Y48" i="7" s="1"/>
  <c r="X80" i="1"/>
  <c r="AE118" i="1"/>
  <c r="Y70" i="7" s="1"/>
  <c r="X118" i="1"/>
  <c r="Y15" i="1"/>
  <c r="AD15" i="1"/>
  <c r="U10" i="7"/>
  <c r="BG19" i="9"/>
  <c r="AF34" i="1"/>
  <c r="Z25" i="7"/>
  <c r="AF42" i="1"/>
  <c r="Y42" i="1"/>
  <c r="AE75" i="1"/>
  <c r="Y43" i="7"/>
  <c r="AF75" i="1"/>
  <c r="Z43" i="7"/>
  <c r="AZ46" i="9"/>
  <c r="Z75" i="1"/>
  <c r="AC75" i="1" s="1"/>
  <c r="W43" i="7" s="1"/>
  <c r="AE83" i="1"/>
  <c r="Y51" i="7"/>
  <c r="AF91" i="1"/>
  <c r="Z54" i="7"/>
  <c r="AZ54" i="9" s="1"/>
  <c r="AZ61" i="9"/>
  <c r="Z91" i="1"/>
  <c r="Z102" i="1"/>
  <c r="Z121" i="1"/>
  <c r="Y121" i="1"/>
  <c r="Z129" i="1"/>
  <c r="AC129" i="1" s="1"/>
  <c r="W77" i="7" s="1"/>
  <c r="AD129" i="1"/>
  <c r="U77" i="7"/>
  <c r="X26" i="1"/>
  <c r="Y40" i="1"/>
  <c r="AD40" i="1" s="1"/>
  <c r="Y8" i="1"/>
  <c r="AE16" i="1"/>
  <c r="Y11" i="7"/>
  <c r="AF15" i="1"/>
  <c r="Z10" i="7"/>
  <c r="AF97" i="1"/>
  <c r="AF80" i="1"/>
  <c r="Z48" i="7" s="1"/>
  <c r="AZ38" i="9" s="1"/>
  <c r="AF109" i="1"/>
  <c r="X121" i="1"/>
  <c r="Y39" i="1"/>
  <c r="Z39" i="1"/>
  <c r="AD39" i="1"/>
  <c r="U29" i="7"/>
  <c r="AE72" i="1"/>
  <c r="Y40" i="7"/>
  <c r="AE96" i="1"/>
  <c r="AF96" i="1"/>
  <c r="X96" i="1"/>
  <c r="X126" i="1"/>
  <c r="Y26" i="1"/>
  <c r="Y75" i="1"/>
  <c r="AD75" i="1"/>
  <c r="U43" i="7"/>
  <c r="Y108" i="1"/>
  <c r="Y9" i="1"/>
  <c r="Z46" i="1"/>
  <c r="AD46" i="1"/>
  <c r="U31" i="7"/>
  <c r="AE30" i="1"/>
  <c r="Y18" i="7" s="1"/>
  <c r="Z57" i="1"/>
  <c r="AE81" i="1"/>
  <c r="Y49" i="7"/>
  <c r="AY39" i="9" s="1"/>
  <c r="Z110" i="1"/>
  <c r="AC110" i="1"/>
  <c r="X91" i="1"/>
  <c r="AC91" i="1"/>
  <c r="W54" i="7"/>
  <c r="AE125" i="1"/>
  <c r="Z117" i="1"/>
  <c r="AF125" i="1"/>
  <c r="AE22" i="1"/>
  <c r="Z22" i="1"/>
  <c r="Z24" i="1"/>
  <c r="AE24" i="1"/>
  <c r="Y24" i="1"/>
  <c r="X11" i="1"/>
  <c r="Y19" i="1"/>
  <c r="AF19" i="1"/>
  <c r="AE19" i="1"/>
  <c r="Y35" i="1"/>
  <c r="AF35" i="1"/>
  <c r="Z26" i="7"/>
  <c r="AZ9" i="9"/>
  <c r="Y43" i="1"/>
  <c r="Z43" i="1"/>
  <c r="AD43" i="1" s="1"/>
  <c r="X43" i="1"/>
  <c r="AE43" i="1"/>
  <c r="Y60" i="1"/>
  <c r="Z60" i="1"/>
  <c r="AC60" i="1"/>
  <c r="AF60" i="1"/>
  <c r="Z22" i="7"/>
  <c r="AF68" i="1"/>
  <c r="Y76" i="1"/>
  <c r="Z76" i="1"/>
  <c r="AD76" i="1"/>
  <c r="U44" i="7"/>
  <c r="BD51" i="9" s="1"/>
  <c r="AE76" i="1"/>
  <c r="Y44" i="7"/>
  <c r="AY47" i="9"/>
  <c r="AF84" i="1"/>
  <c r="Y84" i="1"/>
  <c r="Z84" i="1"/>
  <c r="Z92" i="1"/>
  <c r="AC92" i="1"/>
  <c r="W55" i="7"/>
  <c r="Y92" i="1"/>
  <c r="AF92" i="1"/>
  <c r="Z55" i="7"/>
  <c r="AZ62" i="9"/>
  <c r="AF114" i="1"/>
  <c r="Z66" i="7"/>
  <c r="Z114" i="1"/>
  <c r="Z122" i="1"/>
  <c r="Y122" i="1"/>
  <c r="AD122" i="1" s="1"/>
  <c r="AF122" i="1"/>
  <c r="Z74" i="7"/>
  <c r="AF130" i="1"/>
  <c r="Z78" i="7" s="1"/>
  <c r="AZ69" i="9" s="1"/>
  <c r="Y130" i="1"/>
  <c r="AE130" i="1"/>
  <c r="Y78" i="7"/>
  <c r="AY69" i="9"/>
  <c r="Z130" i="1"/>
  <c r="AD130" i="1" s="1"/>
  <c r="U78" i="7" s="1"/>
  <c r="AE20" i="1"/>
  <c r="Y14" i="7"/>
  <c r="Z20" i="1"/>
  <c r="Y20" i="1"/>
  <c r="AD20" i="1"/>
  <c r="U14" i="7"/>
  <c r="X28" i="1"/>
  <c r="AF28" i="1"/>
  <c r="AE28" i="1"/>
  <c r="Z28" i="1"/>
  <c r="AC28" i="1" s="1"/>
  <c r="X36" i="1"/>
  <c r="AE36" i="1"/>
  <c r="Y27" i="7"/>
  <c r="AY13" i="9"/>
  <c r="Z36" i="1"/>
  <c r="Y36" i="1"/>
  <c r="AD36" i="1"/>
  <c r="U27" i="7"/>
  <c r="BD13" i="9"/>
  <c r="X44" i="1"/>
  <c r="AF44" i="1"/>
  <c r="AE44" i="1"/>
  <c r="Z44" i="1"/>
  <c r="AC44" i="1" s="1"/>
  <c r="AF61" i="1"/>
  <c r="Z23" i="7"/>
  <c r="AZ37" i="9" s="1"/>
  <c r="Z61" i="1"/>
  <c r="AE61" i="1"/>
  <c r="Y23" i="7"/>
  <c r="Z69" i="1"/>
  <c r="AF69" i="1"/>
  <c r="Z37" i="7"/>
  <c r="AE69" i="1"/>
  <c r="Y37" i="7"/>
  <c r="AE77" i="1"/>
  <c r="Y45" i="7"/>
  <c r="AY48" i="9" s="1"/>
  <c r="Z85" i="1"/>
  <c r="AF85" i="1"/>
  <c r="Y85" i="1"/>
  <c r="AD85" i="1"/>
  <c r="AE85" i="1"/>
  <c r="Y93" i="1"/>
  <c r="AF93" i="1"/>
  <c r="Z56" i="7" s="1"/>
  <c r="AZ63" i="9" s="1"/>
  <c r="AE93" i="1"/>
  <c r="Y56" i="7"/>
  <c r="AY56" i="9" s="1"/>
  <c r="Z93" i="1"/>
  <c r="AD93" i="1" s="1"/>
  <c r="U56" i="7" s="1"/>
  <c r="BD56" i="9" s="1"/>
  <c r="AE104" i="1"/>
  <c r="Y61" i="7"/>
  <c r="AY77" i="9" s="1"/>
  <c r="AY80" i="9"/>
  <c r="Z104" i="1"/>
  <c r="AC104" i="1"/>
  <c r="W61" i="7"/>
  <c r="AF115" i="1"/>
  <c r="Z67" i="7"/>
  <c r="AZ85" i="9"/>
  <c r="Y115" i="1"/>
  <c r="AE123" i="1"/>
  <c r="Y75" i="7"/>
  <c r="AF123" i="1"/>
  <c r="Z75" i="7" s="1"/>
  <c r="AZ84" i="9" s="1"/>
  <c r="Y123" i="1"/>
  <c r="Z131" i="1"/>
  <c r="AC131" i="1"/>
  <c r="W79" i="7"/>
  <c r="Y131" i="1"/>
  <c r="AD131" i="1"/>
  <c r="U79" i="7"/>
  <c r="BD70" i="9"/>
  <c r="Y28" i="1"/>
  <c r="Z19" i="1"/>
  <c r="AC19" i="1" s="1"/>
  <c r="X20" i="1"/>
  <c r="Y69" i="1"/>
  <c r="Z77" i="1"/>
  <c r="Z62" i="1"/>
  <c r="AC62" i="1" s="1"/>
  <c r="W32" i="7" s="1"/>
  <c r="AF70" i="1"/>
  <c r="Z38" i="7"/>
  <c r="Z78" i="1"/>
  <c r="AE78" i="1"/>
  <c r="Y46" i="7"/>
  <c r="AY49" i="9" s="1"/>
  <c r="AY53" i="9"/>
  <c r="AE94" i="1"/>
  <c r="Y57" i="7"/>
  <c r="AY64" i="9" s="1"/>
  <c r="AY57" i="9"/>
  <c r="AF105" i="1"/>
  <c r="Z62" i="7"/>
  <c r="Z124" i="1"/>
  <c r="AF132" i="1"/>
  <c r="Z80" i="7"/>
  <c r="AF29" i="1"/>
  <c r="AE70" i="1"/>
  <c r="Y38" i="7"/>
  <c r="AY42" i="9"/>
  <c r="Z71" i="1"/>
  <c r="AC71" i="1"/>
  <c r="W39" i="7"/>
  <c r="AF71" i="1"/>
  <c r="Z39" i="7"/>
  <c r="AE87" i="1"/>
  <c r="Y52" i="7"/>
  <c r="Z87" i="1"/>
  <c r="AC87" i="1"/>
  <c r="W52" i="7"/>
  <c r="Y13" i="1"/>
  <c r="Y30" i="1"/>
  <c r="Y37" i="1"/>
  <c r="Y71" i="1"/>
  <c r="Y78" i="1"/>
  <c r="Y116" i="1"/>
  <c r="Z37" i="1"/>
  <c r="AC37" i="1"/>
  <c r="AE71" i="1"/>
  <c r="Y39" i="7"/>
  <c r="AF78" i="1"/>
  <c r="Z46" i="7"/>
  <c r="AZ53" i="9"/>
  <c r="AE105" i="1"/>
  <c r="Y62" i="7"/>
  <c r="AE109" i="1"/>
  <c r="Z116" i="1"/>
  <c r="AC116" i="1"/>
  <c r="AD116" i="1"/>
  <c r="U68" i="7"/>
  <c r="AF94" i="1"/>
  <c r="Z57" i="7"/>
  <c r="AZ57" i="9" s="1"/>
  <c r="AZ64" i="9"/>
  <c r="AF9" i="1"/>
  <c r="AE9" i="1"/>
  <c r="Z9" i="1"/>
  <c r="Z17" i="1"/>
  <c r="AC17" i="1"/>
  <c r="W12" i="7"/>
  <c r="BC18" i="9"/>
  <c r="AF25" i="1"/>
  <c r="Z17" i="7"/>
  <c r="AZ22" i="9"/>
  <c r="AE25" i="1"/>
  <c r="Y17" i="7"/>
  <c r="AY22" i="9"/>
  <c r="Z25" i="1"/>
  <c r="AD25" i="1" s="1"/>
  <c r="U17" i="7" s="1"/>
  <c r="X25" i="1"/>
  <c r="AC25" i="1"/>
  <c r="W17" i="7"/>
  <c r="AJ17" i="7" s="1"/>
  <c r="AE33" i="1"/>
  <c r="Y24" i="7"/>
  <c r="Z33" i="1"/>
  <c r="X33" i="1"/>
  <c r="AF41" i="1"/>
  <c r="Z30" i="7"/>
  <c r="AZ25" i="9"/>
  <c r="AE41" i="1"/>
  <c r="Y30" i="7"/>
  <c r="AY25" i="9"/>
  <c r="Z41" i="1"/>
  <c r="AD41" i="1" s="1"/>
  <c r="U30" i="7" s="1"/>
  <c r="X41" i="1"/>
  <c r="AF66" i="1"/>
  <c r="Z36" i="7"/>
  <c r="AZ29" i="9"/>
  <c r="Z74" i="1"/>
  <c r="AF82" i="1"/>
  <c r="Z50" i="7"/>
  <c r="AZ40" i="9" s="1"/>
  <c r="Z90" i="1"/>
  <c r="AF90" i="1"/>
  <c r="AF101" i="1"/>
  <c r="Z58" i="7"/>
  <c r="AE120" i="1"/>
  <c r="Y72" i="7"/>
  <c r="Y33" i="1"/>
  <c r="X46" i="1"/>
  <c r="AC46" i="1"/>
  <c r="W31" i="7"/>
  <c r="Y74" i="1"/>
  <c r="Y109" i="1"/>
  <c r="Z29" i="1"/>
  <c r="AC29" i="1" s="1"/>
  <c r="AE37" i="1"/>
  <c r="Y28" i="7"/>
  <c r="AY23" i="9"/>
  <c r="AF87" i="1"/>
  <c r="Z52" i="7"/>
  <c r="AE95" i="1"/>
  <c r="Y45" i="1"/>
  <c r="Y86" i="1"/>
  <c r="Y124" i="1"/>
  <c r="AD124" i="1"/>
  <c r="Y87" i="1"/>
  <c r="Y94" i="1"/>
  <c r="AD94" i="1"/>
  <c r="U57" i="7"/>
  <c r="AJ57" i="7"/>
  <c r="Y125" i="1"/>
  <c r="AD125" i="1"/>
  <c r="Y132" i="1"/>
  <c r="AF37" i="1"/>
  <c r="Z28" i="7"/>
  <c r="AF58" i="1"/>
  <c r="Z20" i="7"/>
  <c r="AZ30" i="9"/>
  <c r="Z66" i="1"/>
  <c r="AC66" i="1" s="1"/>
  <c r="Z70" i="1"/>
  <c r="AC70" i="1" s="1"/>
  <c r="AF95" i="1"/>
  <c r="Z132" i="1"/>
  <c r="AD132" i="1" s="1"/>
  <c r="U80" i="7"/>
  <c r="BD71" i="9"/>
  <c r="X16" i="1"/>
  <c r="Z97" i="1"/>
  <c r="Z65" i="1"/>
  <c r="AC65" i="1"/>
  <c r="Z81" i="1"/>
  <c r="AD81" i="1" s="1"/>
  <c r="U49" i="7" s="1"/>
  <c r="AC81" i="1"/>
  <c r="W49" i="7"/>
  <c r="BC39" i="9"/>
  <c r="Z88" i="1"/>
  <c r="AF108" i="1"/>
  <c r="Z65" i="7"/>
  <c r="AZ74" i="9" s="1"/>
  <c r="Z119" i="1"/>
  <c r="AF127" i="1"/>
  <c r="Y64" i="1"/>
  <c r="Y80" i="1"/>
  <c r="Y96" i="1"/>
  <c r="Y107" i="1"/>
  <c r="AD107" i="1"/>
  <c r="U64" i="7"/>
  <c r="BD73" i="9"/>
  <c r="Y118" i="1"/>
  <c r="Z80" i="1"/>
  <c r="AD80" i="1" s="1"/>
  <c r="AF89" i="1"/>
  <c r="AE110" i="1"/>
  <c r="Z10" i="1"/>
  <c r="Z18" i="1"/>
  <c r="AC18" i="1" s="1"/>
  <c r="W13" i="7" s="1"/>
  <c r="Z26" i="1"/>
  <c r="AD26" i="1" s="1"/>
  <c r="Z42" i="1"/>
  <c r="AE18" i="1"/>
  <c r="Y13" i="7"/>
  <c r="AE26" i="1"/>
  <c r="AE42" i="1"/>
  <c r="BC64" i="9"/>
  <c r="BC40" i="9"/>
  <c r="BE40" i="9"/>
  <c r="BC70" i="9"/>
  <c r="BE70" i="9"/>
  <c r="BC85" i="9"/>
  <c r="BC89" i="9"/>
  <c r="BD64" i="9"/>
  <c r="BD57" i="9"/>
  <c r="BE57" i="9"/>
  <c r="BC46" i="9"/>
  <c r="BC50" i="9"/>
  <c r="AB23" i="8"/>
  <c r="AA19" i="8"/>
  <c r="AB19" i="8"/>
  <c r="W16" i="8"/>
  <c r="X16" i="8"/>
  <c r="V16" i="8"/>
  <c r="AC16" i="8"/>
  <c r="Y89" i="7" s="1"/>
  <c r="AY96" i="9" s="1"/>
  <c r="AA28" i="8"/>
  <c r="AB27" i="8"/>
  <c r="W26" i="8"/>
  <c r="AC26" i="8"/>
  <c r="Y93" i="7"/>
  <c r="AY107" i="9"/>
  <c r="AD26" i="8"/>
  <c r="Z93" i="7" s="1"/>
  <c r="X26" i="8"/>
  <c r="AD43" i="8"/>
  <c r="Z83" i="7"/>
  <c r="AZ123" i="9"/>
  <c r="AC43" i="8"/>
  <c r="Y83" i="7"/>
  <c r="AY123" i="9"/>
  <c r="W43" i="8"/>
  <c r="V43" i="8"/>
  <c r="AA43" i="8"/>
  <c r="W83" i="7"/>
  <c r="AC25" i="8"/>
  <c r="Y91" i="7"/>
  <c r="AY105" i="9"/>
  <c r="AD25" i="8"/>
  <c r="Z91" i="7"/>
  <c r="AZ105" i="9"/>
  <c r="V25" i="8"/>
  <c r="AC35" i="8"/>
  <c r="AD35" i="8"/>
  <c r="X35" i="8"/>
  <c r="W35" i="8"/>
  <c r="AB35" i="8"/>
  <c r="V35" i="8"/>
  <c r="AA35" i="8"/>
  <c r="X45" i="8"/>
  <c r="AC45" i="8"/>
  <c r="Y84" i="7"/>
  <c r="AY125" i="9"/>
  <c r="AD27" i="8"/>
  <c r="AC27" i="8"/>
  <c r="X27" i="8"/>
  <c r="W27" i="8"/>
  <c r="V27" i="8"/>
  <c r="AA27" i="8"/>
  <c r="X23" i="8"/>
  <c r="V23" i="8"/>
  <c r="AA23" i="8"/>
  <c r="AC23" i="8"/>
  <c r="W23" i="8"/>
  <c r="AD23" i="8"/>
  <c r="W18" i="8"/>
  <c r="AC18" i="8"/>
  <c r="V18" i="8"/>
  <c r="AD18" i="8"/>
  <c r="X18" i="8"/>
  <c r="AC19" i="8"/>
  <c r="AD19" i="8"/>
  <c r="X19" i="8"/>
  <c r="V19" i="8"/>
  <c r="W19" i="8"/>
  <c r="X31" i="8"/>
  <c r="V31" i="8"/>
  <c r="AA31" i="8"/>
  <c r="W31" i="8"/>
  <c r="AB31" i="8"/>
  <c r="AC31" i="8"/>
  <c r="AD31" i="8"/>
  <c r="X33" i="8"/>
  <c r="AD33" i="8"/>
  <c r="Z95" i="7"/>
  <c r="AZ113" i="9"/>
  <c r="AD37" i="8"/>
  <c r="Z96" i="7"/>
  <c r="V37" i="8"/>
  <c r="AC37" i="8"/>
  <c r="Y96" i="7"/>
  <c r="X37" i="8"/>
  <c r="W37" i="8"/>
  <c r="AB37" i="8"/>
  <c r="U96" i="7"/>
  <c r="BD117" i="9"/>
  <c r="X39" i="8"/>
  <c r="W39" i="8"/>
  <c r="AB39" i="8"/>
  <c r="V39" i="8"/>
  <c r="AA39" i="8"/>
  <c r="AC39" i="8"/>
  <c r="AD39" i="8"/>
  <c r="AD21" i="8"/>
  <c r="AC21" i="8"/>
  <c r="W42" i="8"/>
  <c r="AC16" i="1"/>
  <c r="W11" i="7"/>
  <c r="AC20" i="1"/>
  <c r="W14" i="7"/>
  <c r="BD69" i="9"/>
  <c r="AC41" i="1"/>
  <c r="W30" i="7"/>
  <c r="AD70" i="1"/>
  <c r="U38" i="7"/>
  <c r="BD42" i="9"/>
  <c r="AC36" i="1"/>
  <c r="W27" i="7"/>
  <c r="AD60" i="1"/>
  <c r="U22" i="7"/>
  <c r="AC26" i="1"/>
  <c r="AD37" i="1"/>
  <c r="U28" i="7"/>
  <c r="BD23" i="9"/>
  <c r="AC43" i="1"/>
  <c r="AD18" i="1"/>
  <c r="U13" i="7"/>
  <c r="BD19" i="9"/>
  <c r="AC13" i="1"/>
  <c r="W9" i="7"/>
  <c r="AD57" i="1"/>
  <c r="U19" i="7"/>
  <c r="BG37" i="9"/>
  <c r="AC22" i="1"/>
  <c r="BD25" i="9"/>
  <c r="AD13" i="1"/>
  <c r="U9" i="7"/>
  <c r="BD22" i="9"/>
  <c r="AD19" i="1"/>
  <c r="AD21" i="1"/>
  <c r="U15" i="7"/>
  <c r="AC42" i="1"/>
  <c r="AD42" i="1"/>
  <c r="AC23" i="1"/>
  <c r="W16" i="7"/>
  <c r="AD30" i="1"/>
  <c r="U18" i="7"/>
  <c r="BG22" i="9" s="1"/>
  <c r="BG21" i="9"/>
  <c r="W15" i="7"/>
  <c r="AC30" i="1"/>
  <c r="W18" i="7"/>
  <c r="AC15" i="1"/>
  <c r="W10" i="7"/>
  <c r="W28" i="7"/>
  <c r="AJ28" i="7"/>
  <c r="AD22" i="1"/>
  <c r="AC57" i="1"/>
  <c r="W19" i="7"/>
  <c r="BF30" i="9" s="1"/>
  <c r="AD109" i="1"/>
  <c r="U74" i="7"/>
  <c r="BD83" i="9" s="1"/>
  <c r="AC96" i="1"/>
  <c r="AD115" i="1"/>
  <c r="U67" i="7"/>
  <c r="AC121" i="1"/>
  <c r="W73" i="7"/>
  <c r="AC88" i="1"/>
  <c r="W53" i="7"/>
  <c r="AC107" i="1"/>
  <c r="W64" i="7"/>
  <c r="AC63" i="1"/>
  <c r="W33" i="7"/>
  <c r="AD96" i="1"/>
  <c r="W35" i="7"/>
  <c r="AC84" i="1"/>
  <c r="AD128" i="1"/>
  <c r="U76" i="7"/>
  <c r="U48" i="7"/>
  <c r="BD38" i="9"/>
  <c r="AC80" i="1"/>
  <c r="W48" i="7"/>
  <c r="AD88" i="1"/>
  <c r="U53" i="7"/>
  <c r="BG54" i="9" s="1"/>
  <c r="W68" i="7"/>
  <c r="BC86" i="9"/>
  <c r="W38" i="7"/>
  <c r="AJ38" i="7"/>
  <c r="W22" i="7"/>
  <c r="AD71" i="1"/>
  <c r="U39" i="7"/>
  <c r="AJ39" i="7" s="1"/>
  <c r="AD121" i="1"/>
  <c r="U73" i="7"/>
  <c r="BD82" i="9"/>
  <c r="AD97" i="1"/>
  <c r="AC132" i="1"/>
  <c r="W80" i="7"/>
  <c r="AD69" i="1"/>
  <c r="U37" i="7"/>
  <c r="AC130" i="1"/>
  <c r="W78" i="7"/>
  <c r="BC69" i="9"/>
  <c r="BE69" i="9"/>
  <c r="AC122" i="1"/>
  <c r="W74" i="7"/>
  <c r="AD84" i="1"/>
  <c r="AC97" i="1"/>
  <c r="AC123" i="1"/>
  <c r="W75" i="7"/>
  <c r="AD123" i="1"/>
  <c r="U75" i="7"/>
  <c r="AJ75" i="7"/>
  <c r="W36" i="7"/>
  <c r="AD74" i="1"/>
  <c r="U42" i="7"/>
  <c r="BC55" i="9"/>
  <c r="AJ48" i="7"/>
  <c r="BC38" i="9"/>
  <c r="BE38" i="9" s="1"/>
  <c r="BG71" i="9"/>
  <c r="BC26" i="9"/>
  <c r="BC90" i="9"/>
  <c r="BG50" i="9"/>
  <c r="BG49" i="9"/>
  <c r="BD46" i="9"/>
  <c r="BE46" i="9"/>
  <c r="BD50" i="9"/>
  <c r="BE50" i="9"/>
  <c r="BD85" i="9"/>
  <c r="BE85" i="9" s="1"/>
  <c r="BD89" i="9"/>
  <c r="BF35" i="9"/>
  <c r="BF31" i="9"/>
  <c r="BF36" i="9"/>
  <c r="BF33" i="9"/>
  <c r="BF37" i="9"/>
  <c r="BH37" i="9"/>
  <c r="BD10" i="9"/>
  <c r="BD32" i="9"/>
  <c r="BD36" i="9"/>
  <c r="BC22" i="9"/>
  <c r="BE22" i="9" s="1"/>
  <c r="BC29" i="9"/>
  <c r="AJ49" i="7"/>
  <c r="BC23" i="9"/>
  <c r="BE23" i="9" s="1"/>
  <c r="BD47" i="9"/>
  <c r="AJ30" i="7"/>
  <c r="BC25" i="9"/>
  <c r="BE25" i="9"/>
  <c r="BE89" i="9"/>
  <c r="BC73" i="9"/>
  <c r="BE73" i="9"/>
  <c r="BC19" i="9"/>
  <c r="BE19" i="9"/>
  <c r="BC28" i="9"/>
  <c r="BF54" i="9"/>
  <c r="BH54" i="9"/>
  <c r="BF55" i="9"/>
  <c r="BF56" i="9"/>
  <c r="BF57" i="9"/>
  <c r="BG23" i="9"/>
  <c r="BG24" i="9"/>
  <c r="BG25" i="9"/>
  <c r="BC21" i="9"/>
  <c r="BC13" i="9"/>
  <c r="BE13" i="9"/>
  <c r="BG36" i="9"/>
  <c r="BH36" i="9" s="1"/>
  <c r="BG30" i="9"/>
  <c r="BG34" i="9"/>
  <c r="BG35" i="9"/>
  <c r="BH35" i="9" s="1"/>
  <c r="BC84" i="9"/>
  <c r="BG42" i="9"/>
  <c r="BG43" i="9"/>
  <c r="BG44" i="9"/>
  <c r="BG45" i="9"/>
  <c r="BD63" i="9"/>
  <c r="BG56" i="9"/>
  <c r="BH56" i="9"/>
  <c r="BC61" i="9"/>
  <c r="BC54" i="9"/>
  <c r="BC80" i="9"/>
  <c r="BC77" i="9"/>
  <c r="AJ10" i="7"/>
  <c r="BF17" i="9"/>
  <c r="BG18" i="9"/>
  <c r="BG17" i="9"/>
  <c r="BH17" i="9" s="1"/>
  <c r="BD119" i="9"/>
  <c r="AA18" i="8"/>
  <c r="AB21" i="8"/>
  <c r="AA37" i="8"/>
  <c r="W96" i="7"/>
  <c r="AJ96" i="7"/>
  <c r="AB16" i="8"/>
  <c r="U89" i="7"/>
  <c r="BD96" i="9"/>
  <c r="AB18" i="8"/>
  <c r="AA16" i="8"/>
  <c r="W89" i="7"/>
  <c r="BC96" i="9"/>
  <c r="AB43" i="8"/>
  <c r="U83" i="7"/>
  <c r="BD123" i="9"/>
  <c r="AB26" i="8"/>
  <c r="U93" i="7"/>
  <c r="BD106" i="9"/>
  <c r="AA21" i="8"/>
  <c r="AA26" i="8"/>
  <c r="W93" i="7"/>
  <c r="AJ89" i="7"/>
  <c r="AJ93" i="7"/>
  <c r="BC123" i="9"/>
  <c r="BE123" i="9"/>
  <c r="BC118" i="9"/>
  <c r="BC119" i="9"/>
  <c r="BE119" i="9"/>
  <c r="AD8" i="8"/>
  <c r="AC8" i="8"/>
  <c r="V8" i="8"/>
  <c r="X8" i="8"/>
  <c r="W8" i="8"/>
  <c r="AB8" i="8"/>
  <c r="AA8" i="8"/>
  <c r="BC71" i="9"/>
  <c r="BE71" i="9"/>
  <c r="BG55" i="9"/>
  <c r="AJ53" i="7"/>
  <c r="BG57" i="9"/>
  <c r="BH57" i="9"/>
  <c r="BC106" i="9"/>
  <c r="BE106" i="9"/>
  <c r="BC108" i="9"/>
  <c r="AJ78" i="7"/>
  <c r="BF19" i="9"/>
  <c r="BH19" i="9"/>
  <c r="BI19" i="9"/>
  <c r="BF18" i="9"/>
  <c r="BH18" i="9"/>
  <c r="AJ83" i="7"/>
  <c r="BI57" i="9"/>
  <c r="BD107" i="9"/>
  <c r="BD108" i="9"/>
  <c r="BE108" i="9" s="1"/>
  <c r="BH55" i="9"/>
  <c r="BC42" i="9"/>
  <c r="BE42" i="9"/>
  <c r="BG52" i="9"/>
  <c r="BG47" i="9"/>
  <c r="BG46" i="9"/>
  <c r="BG51" i="9"/>
  <c r="BG53" i="9"/>
  <c r="BG48" i="9"/>
  <c r="BC82" i="9"/>
  <c r="BE82" i="9"/>
  <c r="AJ73" i="7"/>
  <c r="BF25" i="9"/>
  <c r="BH25" i="9"/>
  <c r="BI25" i="9"/>
  <c r="BF23" i="9"/>
  <c r="BH23" i="9"/>
  <c r="BI23" i="9"/>
  <c r="BG39" i="9"/>
  <c r="BG41" i="9"/>
  <c r="BG40" i="9"/>
  <c r="AD120" i="1"/>
  <c r="U72" i="7"/>
  <c r="BD81" i="9"/>
  <c r="AC120" i="1"/>
  <c r="W72" i="7"/>
  <c r="BH30" i="9"/>
  <c r="Z38" i="1"/>
  <c r="X38" i="1"/>
  <c r="Y38" i="1"/>
  <c r="AE38" i="1"/>
  <c r="AF38" i="1"/>
  <c r="Y67" i="1"/>
  <c r="X67" i="1"/>
  <c r="Z67" i="1"/>
  <c r="AF67" i="1"/>
  <c r="AE67" i="1"/>
  <c r="AF73" i="1"/>
  <c r="Z41" i="7"/>
  <c r="AZ45" i="9"/>
  <c r="X73" i="1"/>
  <c r="Y73" i="1"/>
  <c r="Z73" i="1"/>
  <c r="AE73" i="1"/>
  <c r="Y41" i="7"/>
  <c r="AY45" i="9"/>
  <c r="R40" i="8"/>
  <c r="T40" i="8" s="1"/>
  <c r="BE96" i="9"/>
  <c r="AC108" i="1"/>
  <c r="W65" i="7"/>
  <c r="AD108" i="1"/>
  <c r="U65" i="7"/>
  <c r="BD74" i="9"/>
  <c r="BF68" i="9"/>
  <c r="BF69" i="9"/>
  <c r="V33" i="8"/>
  <c r="AA33" i="8"/>
  <c r="W95" i="7"/>
  <c r="AC33" i="8"/>
  <c r="Y95" i="7"/>
  <c r="AY113" i="9"/>
  <c r="W33" i="8"/>
  <c r="AB33" i="8"/>
  <c r="U95" i="7"/>
  <c r="BD113" i="9"/>
  <c r="Z27" i="1"/>
  <c r="Y27" i="1"/>
  <c r="X27" i="1"/>
  <c r="AE27" i="1"/>
  <c r="AF27" i="1"/>
  <c r="AF47" i="1"/>
  <c r="Z47" i="1"/>
  <c r="X47" i="1"/>
  <c r="Y47" i="1"/>
  <c r="AE47" i="1"/>
  <c r="BF28" i="9"/>
  <c r="BF29" i="9"/>
  <c r="BF27" i="9"/>
  <c r="BF26" i="9"/>
  <c r="AE103" i="1"/>
  <c r="Y60" i="7"/>
  <c r="Y103" i="1"/>
  <c r="X103" i="1"/>
  <c r="AF103" i="1"/>
  <c r="Z60" i="7"/>
  <c r="AZ79" i="9"/>
  <c r="Z103" i="1"/>
  <c r="BC107" i="9"/>
  <c r="BE107" i="9"/>
  <c r="BF24" i="9"/>
  <c r="BH24" i="9"/>
  <c r="BG68" i="9"/>
  <c r="BG69" i="9"/>
  <c r="BC17" i="9"/>
  <c r="AD33" i="1"/>
  <c r="U24" i="7"/>
  <c r="AC33" i="1"/>
  <c r="W24" i="7"/>
  <c r="AC9" i="1"/>
  <c r="AD9" i="1"/>
  <c r="BC10" i="9"/>
  <c r="BE10" i="9"/>
  <c r="BF21" i="9"/>
  <c r="BH21" i="9"/>
  <c r="BF20" i="9"/>
  <c r="AY50" i="9"/>
  <c r="AY46" i="9"/>
  <c r="AD110" i="1"/>
  <c r="Y32" i="1"/>
  <c r="Z32" i="1"/>
  <c r="AF32" i="1"/>
  <c r="AE32" i="1"/>
  <c r="X32" i="1"/>
  <c r="AC32" i="1"/>
  <c r="Y68" i="1"/>
  <c r="AE68" i="1"/>
  <c r="Z68" i="1"/>
  <c r="AD68" i="1" s="1"/>
  <c r="X68" i="1"/>
  <c r="AC68" i="1"/>
  <c r="AC74" i="1"/>
  <c r="W42" i="7"/>
  <c r="BF46" i="9"/>
  <c r="BH46" i="9"/>
  <c r="BI46" i="9"/>
  <c r="AE86" i="1"/>
  <c r="X86" i="1"/>
  <c r="Z86" i="1"/>
  <c r="AD86" i="1"/>
  <c r="AF86" i="1"/>
  <c r="R10" i="8"/>
  <c r="T10" i="8"/>
  <c r="AZ8" i="9"/>
  <c r="BD16" i="9"/>
  <c r="AZ24" i="9"/>
  <c r="BD24" i="9"/>
  <c r="BC32" i="9"/>
  <c r="BE32" i="9"/>
  <c r="BC117" i="9"/>
  <c r="BE117" i="9"/>
  <c r="BG31" i="9"/>
  <c r="BH31" i="9"/>
  <c r="BF22" i="9"/>
  <c r="BH22" i="9"/>
  <c r="BI22" i="9" s="1"/>
  <c r="AD24" i="1"/>
  <c r="AJ43" i="7"/>
  <c r="Z12" i="1"/>
  <c r="X12" i="1"/>
  <c r="AC12" i="1"/>
  <c r="W8" i="7"/>
  <c r="Y12" i="1"/>
  <c r="AD12" i="1"/>
  <c r="U8" i="7"/>
  <c r="BD15" i="9"/>
  <c r="AF12" i="1"/>
  <c r="Z8" i="7"/>
  <c r="AE12" i="1"/>
  <c r="Y8" i="7"/>
  <c r="AY15" i="9"/>
  <c r="R34" i="8"/>
  <c r="T34" i="8"/>
  <c r="AZ11" i="9"/>
  <c r="AZ19" i="9"/>
  <c r="AY19" i="9"/>
  <c r="AY43" i="9"/>
  <c r="BC43" i="9"/>
  <c r="AZ43" i="9"/>
  <c r="BD43" i="9"/>
  <c r="AY51" i="9"/>
  <c r="AZ83" i="9"/>
  <c r="BG38" i="9"/>
  <c r="BF62" i="9"/>
  <c r="BG70" i="9"/>
  <c r="BF70" i="9"/>
  <c r="BD118" i="9"/>
  <c r="BE118" i="9"/>
  <c r="BC16" i="9"/>
  <c r="BE16" i="9"/>
  <c r="BG32" i="9"/>
  <c r="AJ19" i="7"/>
  <c r="AY37" i="9"/>
  <c r="AY33" i="9"/>
  <c r="BC62" i="9"/>
  <c r="X42" i="8"/>
  <c r="AC42" i="8"/>
  <c r="Y82" i="7"/>
  <c r="AY122" i="9"/>
  <c r="AD42" i="8"/>
  <c r="Z82" i="7"/>
  <c r="AZ122" i="9"/>
  <c r="AB42" i="8"/>
  <c r="U82" i="7"/>
  <c r="BD122" i="9"/>
  <c r="V42" i="8"/>
  <c r="AA42" i="8"/>
  <c r="W82" i="7"/>
  <c r="Z8" i="1"/>
  <c r="AE8" i="1"/>
  <c r="AZ12" i="9"/>
  <c r="AY20" i="9"/>
  <c r="BC20" i="9"/>
  <c r="AZ28" i="9"/>
  <c r="BC36" i="9"/>
  <c r="BE36" i="9"/>
  <c r="BI36" i="9"/>
  <c r="AY44" i="9"/>
  <c r="AY52" i="9"/>
  <c r="BD68" i="9"/>
  <c r="AY76" i="9"/>
  <c r="AY118" i="9"/>
  <c r="AY119" i="9"/>
  <c r="AY117" i="9"/>
  <c r="BF64" i="9"/>
  <c r="BF61" i="9"/>
  <c r="AZ35" i="9"/>
  <c r="BG33" i="9"/>
  <c r="BH33" i="9" s="1"/>
  <c r="BG20" i="9"/>
  <c r="BH20" i="9" s="1"/>
  <c r="BC68" i="9"/>
  <c r="BE68" i="9"/>
  <c r="BD20" i="9"/>
  <c r="BE20" i="9" s="1"/>
  <c r="BI20" i="9" s="1"/>
  <c r="AZ117" i="9"/>
  <c r="AZ118" i="9"/>
  <c r="AZ119" i="9"/>
  <c r="V45" i="8"/>
  <c r="AA45" i="8"/>
  <c r="W84" i="7"/>
  <c r="X106" i="1"/>
  <c r="Y106" i="1"/>
  <c r="AE106" i="1"/>
  <c r="Y63" i="7"/>
  <c r="AY72" i="9"/>
  <c r="Z106" i="1"/>
  <c r="AF106" i="1"/>
  <c r="Z63" i="7"/>
  <c r="AZ72" i="9"/>
  <c r="AB45" i="8"/>
  <c r="U84" i="7"/>
  <c r="BD125" i="9"/>
  <c r="BC83" i="9"/>
  <c r="BE83" i="9"/>
  <c r="BF34" i="9"/>
  <c r="BH34" i="9"/>
  <c r="BF32" i="9"/>
  <c r="BH32" i="9"/>
  <c r="AD45" i="8"/>
  <c r="Z84" i="7"/>
  <c r="AZ125" i="9"/>
  <c r="BD90" i="9"/>
  <c r="BE90" i="9"/>
  <c r="BD86" i="9"/>
  <c r="BE86" i="9"/>
  <c r="AD78" i="1"/>
  <c r="U46" i="7"/>
  <c r="AJ50" i="7"/>
  <c r="AC79" i="1"/>
  <c r="W47" i="7"/>
  <c r="BF38" i="9"/>
  <c r="BH38" i="9"/>
  <c r="BI38" i="9"/>
  <c r="Y72" i="1"/>
  <c r="Z72" i="1"/>
  <c r="AD72" i="1" s="1"/>
  <c r="U40" i="7" s="1"/>
  <c r="BD44" i="9" s="1"/>
  <c r="AF72" i="1"/>
  <c r="Z40" i="7"/>
  <c r="AZ44" i="9"/>
  <c r="X72" i="1"/>
  <c r="AC72" i="1"/>
  <c r="W40" i="7"/>
  <c r="AJ40" i="7"/>
  <c r="R46" i="8"/>
  <c r="T46" i="8" s="1"/>
  <c r="AY84" i="9"/>
  <c r="BD84" i="9"/>
  <c r="BE84" i="9" s="1"/>
  <c r="AZ92" i="9"/>
  <c r="AY92" i="9"/>
  <c r="BF63" i="9"/>
  <c r="BF71" i="9"/>
  <c r="BH71" i="9"/>
  <c r="BE64" i="9"/>
  <c r="Y29" i="1"/>
  <c r="AD29" i="1"/>
  <c r="AE34" i="1"/>
  <c r="Y25" i="7"/>
  <c r="AY8" i="9"/>
  <c r="Z34" i="1"/>
  <c r="AD34" i="1"/>
  <c r="U25" i="7"/>
  <c r="X34" i="1"/>
  <c r="AC34" i="1"/>
  <c r="W25" i="7"/>
  <c r="AF124" i="1"/>
  <c r="AE124" i="1"/>
  <c r="X124" i="1"/>
  <c r="AC124" i="1"/>
  <c r="Y66" i="1"/>
  <c r="AD66" i="1"/>
  <c r="U36" i="7"/>
  <c r="Y65" i="1"/>
  <c r="AD65" i="1"/>
  <c r="U35" i="7"/>
  <c r="Y63" i="1"/>
  <c r="AD63" i="1"/>
  <c r="U33" i="7"/>
  <c r="AE65" i="1"/>
  <c r="Y35" i="7"/>
  <c r="AY28" i="9"/>
  <c r="R11" i="4"/>
  <c r="AE66" i="1"/>
  <c r="Y36" i="7"/>
  <c r="AY29" i="9"/>
  <c r="AE63" i="1"/>
  <c r="Y33" i="7"/>
  <c r="AE59" i="1"/>
  <c r="Y21" i="7"/>
  <c r="AY35" i="9" s="1"/>
  <c r="AE60" i="1"/>
  <c r="Y22" i="7"/>
  <c r="R12" i="8"/>
  <c r="T12" i="8"/>
  <c r="W25" i="8"/>
  <c r="X25" i="8"/>
  <c r="AA25" i="8"/>
  <c r="W91" i="7"/>
  <c r="AF10" i="1"/>
  <c r="Z6" i="7"/>
  <c r="X10" i="1"/>
  <c r="AC10" i="1"/>
  <c r="W6" i="7"/>
  <c r="Y10" i="1"/>
  <c r="AD10" i="1"/>
  <c r="U6" i="7"/>
  <c r="AE10" i="1"/>
  <c r="Y6" i="7"/>
  <c r="Y17" i="1"/>
  <c r="AD17" i="1"/>
  <c r="U12" i="7"/>
  <c r="BD18" i="9"/>
  <c r="BE18" i="9" s="1"/>
  <c r="BI18" i="9" s="1"/>
  <c r="AF17" i="1"/>
  <c r="Z12" i="7"/>
  <c r="AZ18" i="9"/>
  <c r="AE17" i="1"/>
  <c r="Y12" i="7"/>
  <c r="AY18" i="9"/>
  <c r="Y23" i="1"/>
  <c r="AD23" i="1"/>
  <c r="U16" i="7"/>
  <c r="AF23" i="1"/>
  <c r="Z16" i="7"/>
  <c r="AZ21" i="9"/>
  <c r="AE23" i="1"/>
  <c r="Y16" i="7"/>
  <c r="AY21" i="9"/>
  <c r="X35" i="1"/>
  <c r="AE35" i="1"/>
  <c r="Y26" i="7"/>
  <c r="AY12" i="9"/>
  <c r="Z35" i="1"/>
  <c r="AD35" i="1"/>
  <c r="U26" i="7"/>
  <c r="X58" i="1"/>
  <c r="Y58" i="1"/>
  <c r="Z58" i="1"/>
  <c r="AE58" i="1"/>
  <c r="Y20" i="7"/>
  <c r="AY30" i="9"/>
  <c r="AF64" i="1"/>
  <c r="Z34" i="7"/>
  <c r="AZ27" i="9"/>
  <c r="Z64" i="1"/>
  <c r="AD64" i="1"/>
  <c r="U34" i="7"/>
  <c r="BD27" i="9" s="1"/>
  <c r="AE64" i="1"/>
  <c r="Y34" i="7"/>
  <c r="AY27" i="9"/>
  <c r="X64" i="1"/>
  <c r="AC64" i="1"/>
  <c r="W34" i="7"/>
  <c r="AJ34" i="7"/>
  <c r="AD77" i="1"/>
  <c r="U45" i="7"/>
  <c r="BD52" i="9" s="1"/>
  <c r="BD48" i="9"/>
  <c r="Z83" i="1"/>
  <c r="AF83" i="1"/>
  <c r="Z51" i="7"/>
  <c r="AZ41" i="9"/>
  <c r="X83" i="1"/>
  <c r="Y83" i="1"/>
  <c r="X89" i="1"/>
  <c r="AC89" i="1"/>
  <c r="AE89" i="1"/>
  <c r="Y89" i="1"/>
  <c r="AD89" i="1"/>
  <c r="X114" i="1"/>
  <c r="AC114" i="1"/>
  <c r="W66" i="7"/>
  <c r="BF86" i="9" s="1"/>
  <c r="Y114" i="1"/>
  <c r="AD114" i="1"/>
  <c r="U66" i="7"/>
  <c r="AE114" i="1"/>
  <c r="Y66" i="7"/>
  <c r="R13" i="8"/>
  <c r="T13" i="8"/>
  <c r="X21" i="8"/>
  <c r="V21" i="8"/>
  <c r="W21" i="8"/>
  <c r="AZ106" i="9"/>
  <c r="AZ107" i="9"/>
  <c r="AZ108" i="9"/>
  <c r="AY108" i="9"/>
  <c r="AY106" i="9"/>
  <c r="Z11" i="1"/>
  <c r="AC11" i="1" s="1"/>
  <c r="W7" i="7" s="1"/>
  <c r="Y11" i="1"/>
  <c r="AD11" i="1"/>
  <c r="U7" i="7"/>
  <c r="BD14" i="9"/>
  <c r="AF11" i="1"/>
  <c r="Z7" i="7"/>
  <c r="AZ14" i="9"/>
  <c r="AE11" i="1"/>
  <c r="Y7" i="7"/>
  <c r="AY14" i="9"/>
  <c r="AC24" i="1"/>
  <c r="AC78" i="1"/>
  <c r="W46" i="7"/>
  <c r="Y104" i="1"/>
  <c r="AD104" i="1"/>
  <c r="U61" i="7"/>
  <c r="Y105" i="1"/>
  <c r="Y102" i="1"/>
  <c r="AD102" i="1"/>
  <c r="U59" i="7"/>
  <c r="BD75" i="9" s="1"/>
  <c r="BD78" i="9"/>
  <c r="T12" i="4"/>
  <c r="AF36" i="1"/>
  <c r="Z27" i="7"/>
  <c r="AJ27" i="7" s="1"/>
  <c r="AF46" i="1"/>
  <c r="Z31" i="7"/>
  <c r="AF16" i="1"/>
  <c r="Z11" i="7"/>
  <c r="AF13" i="1"/>
  <c r="Z9" i="7"/>
  <c r="AZ16" i="9" s="1"/>
  <c r="AF30" i="1"/>
  <c r="Z18" i="7"/>
  <c r="AJ18" i="7"/>
  <c r="AF21" i="1"/>
  <c r="Z15" i="7"/>
  <c r="AF22" i="1"/>
  <c r="AF33" i="1"/>
  <c r="Z24" i="7"/>
  <c r="AF20" i="1"/>
  <c r="Z14" i="7"/>
  <c r="AJ14" i="7" s="1"/>
  <c r="U12" i="4"/>
  <c r="R14" i="8"/>
  <c r="T14" i="8"/>
  <c r="AZ23" i="9"/>
  <c r="AD87" i="1"/>
  <c r="U52" i="7"/>
  <c r="BG62" i="9"/>
  <c r="AD28" i="1"/>
  <c r="Z45" i="1"/>
  <c r="AD45" i="1"/>
  <c r="AE45" i="1"/>
  <c r="X45" i="1"/>
  <c r="AC45" i="1"/>
  <c r="X61" i="1"/>
  <c r="AC61" i="1"/>
  <c r="W23" i="7"/>
  <c r="Y61" i="1"/>
  <c r="AD61" i="1"/>
  <c r="U23" i="7"/>
  <c r="AF119" i="1"/>
  <c r="Z71" i="7"/>
  <c r="X119" i="1"/>
  <c r="AC119" i="1"/>
  <c r="W71" i="7"/>
  <c r="R11" i="8"/>
  <c r="T11" i="8" s="1"/>
  <c r="AY17" i="9"/>
  <c r="AE101" i="1"/>
  <c r="Y58" i="7"/>
  <c r="Z101" i="1"/>
  <c r="X101" i="1"/>
  <c r="Y101" i="1"/>
  <c r="AD101" i="1"/>
  <c r="U58" i="7"/>
  <c r="BG78" i="9" s="1"/>
  <c r="AF126" i="1"/>
  <c r="Y126" i="1"/>
  <c r="Z126" i="1"/>
  <c r="AD126" i="1" s="1"/>
  <c r="AC126" i="1"/>
  <c r="X76" i="1"/>
  <c r="AC76" i="1"/>
  <c r="W44" i="7"/>
  <c r="AF76" i="1"/>
  <c r="Z44" i="7"/>
  <c r="AZ47" i="9"/>
  <c r="X102" i="1"/>
  <c r="AC102" i="1"/>
  <c r="W59" i="7"/>
  <c r="BC75" i="9" s="1"/>
  <c r="AE102" i="1"/>
  <c r="Y59" i="7"/>
  <c r="AY75" i="9" s="1"/>
  <c r="AY78" i="9"/>
  <c r="AF102" i="1"/>
  <c r="Z59" i="7"/>
  <c r="AZ78" i="9"/>
  <c r="Y127" i="1"/>
  <c r="AE127" i="1"/>
  <c r="Z127" i="1"/>
  <c r="AD127" i="1" s="1"/>
  <c r="AC127" i="1"/>
  <c r="AE129" i="1"/>
  <c r="Y77" i="7"/>
  <c r="AY68" i="9" s="1"/>
  <c r="S9" i="4"/>
  <c r="AE122" i="1"/>
  <c r="Y74" i="7"/>
  <c r="AY83" i="9"/>
  <c r="AE132" i="1"/>
  <c r="Y80" i="7"/>
  <c r="AY71" i="9" s="1"/>
  <c r="AJ80" i="7"/>
  <c r="AE117" i="1"/>
  <c r="Y69" i="7"/>
  <c r="AY87" i="9"/>
  <c r="R9" i="4"/>
  <c r="AE115" i="1"/>
  <c r="Y67" i="7"/>
  <c r="AE131" i="1"/>
  <c r="Y79" i="7"/>
  <c r="AY70" i="9"/>
  <c r="AE116" i="1"/>
  <c r="Y68" i="7"/>
  <c r="U13" i="4"/>
  <c r="T13" i="4"/>
  <c r="AF104" i="1"/>
  <c r="Z61" i="7"/>
  <c r="AD92" i="1"/>
  <c r="U55" i="7"/>
  <c r="AJ55" i="7" s="1"/>
  <c r="AD119" i="1"/>
  <c r="U71" i="7"/>
  <c r="AF14" i="1"/>
  <c r="X14" i="1"/>
  <c r="AC14" i="1"/>
  <c r="AD44" i="1"/>
  <c r="X77" i="1"/>
  <c r="AC77" i="1"/>
  <c r="W45" i="7"/>
  <c r="AF77" i="1"/>
  <c r="Z45" i="7"/>
  <c r="AZ52" i="9" s="1"/>
  <c r="AZ48" i="9"/>
  <c r="R17" i="8"/>
  <c r="T17" i="8"/>
  <c r="T24" i="8"/>
  <c r="AZ15" i="9"/>
  <c r="AY31" i="9"/>
  <c r="AZ31" i="9"/>
  <c r="AZ39" i="9"/>
  <c r="BD39" i="9"/>
  <c r="BE39" i="9"/>
  <c r="AZ55" i="9"/>
  <c r="AY55" i="9"/>
  <c r="AY63" i="9"/>
  <c r="AZ71" i="9"/>
  <c r="AY79" i="9"/>
  <c r="Z118" i="1"/>
  <c r="AE13" i="1"/>
  <c r="Y9" i="7"/>
  <c r="AY16" i="9" s="1"/>
  <c r="AJ9" i="7"/>
  <c r="Y62" i="1"/>
  <c r="AD62" i="1"/>
  <c r="U32" i="7"/>
  <c r="AF128" i="1"/>
  <c r="Z76" i="7"/>
  <c r="AE62" i="1"/>
  <c r="Y32" i="7"/>
  <c r="AF129" i="1"/>
  <c r="Z77" i="7"/>
  <c r="AJ77" i="7" s="1"/>
  <c r="AZ68" i="9"/>
  <c r="Z105" i="1"/>
  <c r="AC105" i="1"/>
  <c r="W62" i="7"/>
  <c r="BF74" i="9"/>
  <c r="X39" i="1"/>
  <c r="AC39" i="1"/>
  <c r="W29" i="7"/>
  <c r="AE39" i="1"/>
  <c r="Y29" i="7"/>
  <c r="AY24" i="9" s="1"/>
  <c r="AC93" i="1"/>
  <c r="W56" i="7"/>
  <c r="BC63" i="9"/>
  <c r="BE63" i="9"/>
  <c r="AF107" i="1"/>
  <c r="Z64" i="7"/>
  <c r="AZ73" i="9"/>
  <c r="U11" i="4"/>
  <c r="T44" i="8"/>
  <c r="R12" i="4"/>
  <c r="AC69" i="1"/>
  <c r="W37" i="7"/>
  <c r="AC85" i="1"/>
  <c r="R15" i="8"/>
  <c r="T15" i="8"/>
  <c r="T41" i="8"/>
  <c r="AZ33" i="9"/>
  <c r="AY41" i="9"/>
  <c r="AZ81" i="9"/>
  <c r="Y91" i="1"/>
  <c r="AD91" i="1"/>
  <c r="U54" i="7"/>
  <c r="AE91" i="1"/>
  <c r="Y54" i="7"/>
  <c r="AE128" i="1"/>
  <c r="Y76" i="7"/>
  <c r="AJ76" i="7"/>
  <c r="R29" i="8"/>
  <c r="T29" i="8"/>
  <c r="AY10" i="9"/>
  <c r="AZ34" i="9"/>
  <c r="Y16" i="1"/>
  <c r="AD16" i="1"/>
  <c r="U11" i="7"/>
  <c r="AJ11" i="7" s="1"/>
  <c r="BD17" i="9"/>
  <c r="Y59" i="1"/>
  <c r="X59" i="1"/>
  <c r="Z59" i="1"/>
  <c r="AF117" i="1"/>
  <c r="Z69" i="7"/>
  <c r="AZ91" i="9"/>
  <c r="X117" i="1"/>
  <c r="AC117" i="1"/>
  <c r="W69" i="7"/>
  <c r="BC91" i="9"/>
  <c r="Y117" i="1"/>
  <c r="AD117" i="1"/>
  <c r="U69" i="7"/>
  <c r="AE46" i="1"/>
  <c r="Y31" i="7"/>
  <c r="AJ31" i="7"/>
  <c r="S12" i="4"/>
  <c r="R32" i="8"/>
  <c r="T32" i="8"/>
  <c r="AZ49" i="9"/>
  <c r="AY81" i="9"/>
  <c r="AZ89" i="9"/>
  <c r="AY26" i="9"/>
  <c r="AY34" i="9"/>
  <c r="AZ42" i="9"/>
  <c r="AZ50" i="9"/>
  <c r="AZ90" i="9"/>
  <c r="X13" i="8"/>
  <c r="AD13" i="8"/>
  <c r="V13" i="8"/>
  <c r="W13" i="8"/>
  <c r="AC13" i="8"/>
  <c r="AA13" i="8"/>
  <c r="AB13" i="8"/>
  <c r="AD14" i="8"/>
  <c r="Z88" i="7"/>
  <c r="AZ94" i="9"/>
  <c r="AC14" i="8"/>
  <c r="Y88" i="7"/>
  <c r="AY94" i="9"/>
  <c r="V14" i="8"/>
  <c r="X14" i="8"/>
  <c r="AA14" i="8"/>
  <c r="W88" i="7"/>
  <c r="W14" i="8"/>
  <c r="BD11" i="9"/>
  <c r="BD8" i="9"/>
  <c r="X10" i="8"/>
  <c r="V10" i="8"/>
  <c r="AD10" i="8"/>
  <c r="W10" i="8"/>
  <c r="AB10" i="8"/>
  <c r="AC10" i="8"/>
  <c r="AA10" i="8"/>
  <c r="BD9" i="9"/>
  <c r="BD12" i="9"/>
  <c r="AC29" i="8"/>
  <c r="Y92" i="7"/>
  <c r="W29" i="8"/>
  <c r="X29" i="8"/>
  <c r="AB29" i="8" s="1"/>
  <c r="U92" i="7" s="1"/>
  <c r="AD29" i="8"/>
  <c r="Z92" i="7"/>
  <c r="V29" i="8"/>
  <c r="AA29" i="8"/>
  <c r="W92" i="7"/>
  <c r="AZ17" i="9"/>
  <c r="V44" i="8"/>
  <c r="W44" i="8"/>
  <c r="AC44" i="8"/>
  <c r="Y86" i="7"/>
  <c r="AY124" i="9"/>
  <c r="X44" i="8"/>
  <c r="AB44" i="8" s="1"/>
  <c r="U86" i="7" s="1"/>
  <c r="BD124" i="9" s="1"/>
  <c r="AA44" i="8"/>
  <c r="W86" i="7"/>
  <c r="AD44" i="8"/>
  <c r="Z86" i="7"/>
  <c r="AZ124" i="9"/>
  <c r="AY86" i="9"/>
  <c r="AY90" i="9"/>
  <c r="AJ68" i="7"/>
  <c r="AJ44" i="7"/>
  <c r="BC47" i="9"/>
  <c r="BE47" i="9"/>
  <c r="BC51" i="9"/>
  <c r="BE51" i="9"/>
  <c r="BG89" i="9"/>
  <c r="BG87" i="9"/>
  <c r="BG85" i="9"/>
  <c r="BG90" i="9"/>
  <c r="BG91" i="9"/>
  <c r="BG88" i="9"/>
  <c r="BG92" i="9"/>
  <c r="AD58" i="1"/>
  <c r="U20" i="7"/>
  <c r="AB25" i="8"/>
  <c r="U91" i="7"/>
  <c r="BD105" i="9"/>
  <c r="AJ25" i="7"/>
  <c r="BF47" i="9"/>
  <c r="BH47" i="9"/>
  <c r="BC125" i="9"/>
  <c r="BE125" i="9"/>
  <c r="AJ84" i="7"/>
  <c r="BE75" i="9"/>
  <c r="AC8" i="1"/>
  <c r="AD8" i="1"/>
  <c r="AJ8" i="7"/>
  <c r="BC15" i="9"/>
  <c r="BE15" i="9"/>
  <c r="AC86" i="1"/>
  <c r="AJ65" i="7"/>
  <c r="BC74" i="9"/>
  <c r="BE74" i="9"/>
  <c r="AC67" i="1"/>
  <c r="AJ72" i="7"/>
  <c r="BC81" i="9"/>
  <c r="BE81" i="9"/>
  <c r="AY9" i="9"/>
  <c r="AZ13" i="9"/>
  <c r="AZ10" i="9"/>
  <c r="BF92" i="9"/>
  <c r="BH92" i="9"/>
  <c r="BF89" i="9"/>
  <c r="BH89" i="9"/>
  <c r="BI89" i="9"/>
  <c r="BF91" i="9"/>
  <c r="AJ66" i="7"/>
  <c r="BF85" i="9"/>
  <c r="BH85" i="9"/>
  <c r="BI85" i="9"/>
  <c r="BF90" i="9"/>
  <c r="BH90" i="9"/>
  <c r="BI90" i="9"/>
  <c r="BF88" i="9"/>
  <c r="BH88" i="9"/>
  <c r="AC58" i="1"/>
  <c r="W20" i="7"/>
  <c r="AJ74" i="7"/>
  <c r="AZ75" i="9"/>
  <c r="AJ82" i="7"/>
  <c r="BC122" i="9"/>
  <c r="BE122" i="9"/>
  <c r="BH70" i="9"/>
  <c r="BI70" i="9"/>
  <c r="AZ51" i="9"/>
  <c r="AY11" i="9"/>
  <c r="BI32" i="9"/>
  <c r="BC8" i="9"/>
  <c r="BE8" i="9"/>
  <c r="BE17" i="9"/>
  <c r="BI17" i="9"/>
  <c r="AD67" i="1"/>
  <c r="BC105" i="9"/>
  <c r="BE105" i="9"/>
  <c r="AJ91" i="7"/>
  <c r="V41" i="8"/>
  <c r="AA41" i="8"/>
  <c r="AD41" i="8"/>
  <c r="AC41" i="8"/>
  <c r="AB41" i="8"/>
  <c r="W41" i="8"/>
  <c r="X41" i="8"/>
  <c r="BF51" i="9"/>
  <c r="BH51" i="9"/>
  <c r="BI51" i="9" s="1"/>
  <c r="BF48" i="9"/>
  <c r="BH48" i="9"/>
  <c r="BF53" i="9"/>
  <c r="BH53" i="9"/>
  <c r="BF50" i="9"/>
  <c r="BH50" i="9"/>
  <c r="BI50" i="9"/>
  <c r="BF52" i="9"/>
  <c r="BH52" i="9"/>
  <c r="BF49" i="9"/>
  <c r="BH49" i="9"/>
  <c r="AJ42" i="7"/>
  <c r="AD15" i="8"/>
  <c r="Z87" i="7"/>
  <c r="AZ95" i="9"/>
  <c r="X15" i="8"/>
  <c r="W15" i="8"/>
  <c r="AB15" i="8"/>
  <c r="U87" i="7"/>
  <c r="BD95" i="9"/>
  <c r="V15" i="8"/>
  <c r="AA15" i="8"/>
  <c r="W87" i="7"/>
  <c r="AC15" i="8"/>
  <c r="Y87" i="7"/>
  <c r="AY95" i="9"/>
  <c r="V24" i="8"/>
  <c r="X24" i="8"/>
  <c r="AA24" i="8" s="1"/>
  <c r="W90" i="7" s="1"/>
  <c r="W24" i="8"/>
  <c r="AD24" i="8"/>
  <c r="Z90" i="7"/>
  <c r="AZ104" i="9"/>
  <c r="AB24" i="8"/>
  <c r="U90" i="7"/>
  <c r="BD104" i="9"/>
  <c r="AC24" i="8"/>
  <c r="Y90" i="7"/>
  <c r="AY104" i="9"/>
  <c r="BD28" i="9"/>
  <c r="BE28" i="9"/>
  <c r="AJ35" i="7"/>
  <c r="W34" i="8"/>
  <c r="AC34" i="8"/>
  <c r="Y97" i="7"/>
  <c r="V34" i="8"/>
  <c r="AD34" i="8"/>
  <c r="Z97" i="7"/>
  <c r="X34" i="8"/>
  <c r="AB34" i="8" s="1"/>
  <c r="U97" i="7" s="1"/>
  <c r="AA34" i="8"/>
  <c r="W97" i="7"/>
  <c r="AD32" i="1"/>
  <c r="BD54" i="9"/>
  <c r="BE54" i="9"/>
  <c r="BI54" i="9"/>
  <c r="BD61" i="9"/>
  <c r="BE61" i="9"/>
  <c r="AJ54" i="7"/>
  <c r="AD118" i="1"/>
  <c r="U70" i="7"/>
  <c r="AC118" i="1"/>
  <c r="W70" i="7"/>
  <c r="BD62" i="9"/>
  <c r="BE62" i="9"/>
  <c r="BD55" i="9"/>
  <c r="BE55" i="9"/>
  <c r="BI55" i="9"/>
  <c r="BG77" i="9"/>
  <c r="BG80" i="9"/>
  <c r="BG76" i="9"/>
  <c r="BG79" i="9"/>
  <c r="BG75" i="9"/>
  <c r="AJ15" i="7"/>
  <c r="AZ20" i="9"/>
  <c r="AD105" i="1"/>
  <c r="U62" i="7"/>
  <c r="AC35" i="1"/>
  <c r="W26" i="7"/>
  <c r="BG16" i="9"/>
  <c r="BG15" i="9"/>
  <c r="BD29" i="9"/>
  <c r="BE29" i="9"/>
  <c r="AJ36" i="7"/>
  <c r="BG86" i="9"/>
  <c r="BH86" i="9"/>
  <c r="BI86" i="9"/>
  <c r="BE43" i="9"/>
  <c r="AC103" i="1"/>
  <c r="W60" i="7"/>
  <c r="AC27" i="1"/>
  <c r="AD38" i="1"/>
  <c r="BC27" i="9"/>
  <c r="BE27" i="9"/>
  <c r="BI71" i="9"/>
  <c r="AJ69" i="7"/>
  <c r="BC87" i="9"/>
  <c r="AJ16" i="7"/>
  <c r="BD21" i="9"/>
  <c r="BE21" i="9"/>
  <c r="BI21" i="9"/>
  <c r="BG9" i="9"/>
  <c r="BG10" i="9"/>
  <c r="BG12" i="9"/>
  <c r="BG8" i="9"/>
  <c r="BG13" i="9"/>
  <c r="BG11" i="9"/>
  <c r="AD32" i="8"/>
  <c r="Z94" i="7"/>
  <c r="AZ112" i="9"/>
  <c r="V32" i="8"/>
  <c r="W32" i="8"/>
  <c r="X32" i="8"/>
  <c r="AB32" i="8"/>
  <c r="U94" i="7"/>
  <c r="BD112" i="9"/>
  <c r="AA32" i="8"/>
  <c r="W94" i="7"/>
  <c r="AC32" i="8"/>
  <c r="Y94" i="7"/>
  <c r="AY112" i="9"/>
  <c r="W12" i="8"/>
  <c r="AD12" i="8"/>
  <c r="V12" i="8"/>
  <c r="X12" i="8"/>
  <c r="AB12" i="8"/>
  <c r="AA12" i="8"/>
  <c r="AC12" i="8"/>
  <c r="BC44" i="9"/>
  <c r="BE44" i="9"/>
  <c r="AJ56" i="7"/>
  <c r="BC56" i="9"/>
  <c r="BE56" i="9"/>
  <c r="BI56" i="9"/>
  <c r="BF82" i="9"/>
  <c r="BF83" i="9"/>
  <c r="BF84" i="9"/>
  <c r="BF81" i="9"/>
  <c r="AJ71" i="7"/>
  <c r="BH62" i="9"/>
  <c r="BI62" i="9" s="1"/>
  <c r="AB17" i="8"/>
  <c r="X17" i="8"/>
  <c r="AA17" i="8"/>
  <c r="AD17" i="8"/>
  <c r="W17" i="8"/>
  <c r="V17" i="8"/>
  <c r="AC17" i="8"/>
  <c r="AJ29" i="7"/>
  <c r="BC24" i="9"/>
  <c r="BE24" i="9"/>
  <c r="BI24" i="9"/>
  <c r="AZ77" i="9"/>
  <c r="AZ80" i="9"/>
  <c r="AC101" i="1"/>
  <c r="W58" i="7"/>
  <c r="BD33" i="9"/>
  <c r="BD37" i="9"/>
  <c r="AJ61" i="7"/>
  <c r="BD77" i="9"/>
  <c r="BE77" i="9"/>
  <c r="BD80" i="9"/>
  <c r="BE80" i="9"/>
  <c r="AD83" i="1"/>
  <c r="U51" i="7"/>
  <c r="BD41" i="9"/>
  <c r="BF16" i="9"/>
  <c r="BH16" i="9"/>
  <c r="BI16" i="9"/>
  <c r="BF15" i="9"/>
  <c r="BF14" i="9"/>
  <c r="AJ6" i="7"/>
  <c r="BF87" i="9"/>
  <c r="BH87" i="9"/>
  <c r="BD49" i="9"/>
  <c r="BD53" i="9"/>
  <c r="AD106" i="1"/>
  <c r="U63" i="7"/>
  <c r="BD72" i="9"/>
  <c r="AY91" i="9"/>
  <c r="AZ76" i="9"/>
  <c r="BG14" i="9"/>
  <c r="AD103" i="1"/>
  <c r="U60" i="7"/>
  <c r="AD47" i="1"/>
  <c r="AD27" i="1"/>
  <c r="BH69" i="9"/>
  <c r="BI69" i="9"/>
  <c r="AC38" i="1"/>
  <c r="BC11" i="9"/>
  <c r="BE11" i="9"/>
  <c r="AJ64" i="7"/>
  <c r="AJ45" i="7"/>
  <c r="BC52" i="9"/>
  <c r="BE52" i="9"/>
  <c r="BI52" i="9"/>
  <c r="BC48" i="9"/>
  <c r="BE48" i="9"/>
  <c r="BI48" i="9"/>
  <c r="AJ7" i="7"/>
  <c r="BC14" i="9"/>
  <c r="BE14" i="9"/>
  <c r="AC40" i="8"/>
  <c r="V40" i="8"/>
  <c r="X40" i="8"/>
  <c r="W40" i="8"/>
  <c r="AD40" i="8"/>
  <c r="AB40" i="8"/>
  <c r="AA40" i="8"/>
  <c r="BG26" i="9"/>
  <c r="BH26" i="9"/>
  <c r="BG28" i="9"/>
  <c r="BG27" i="9"/>
  <c r="BH27" i="9"/>
  <c r="BG29" i="9"/>
  <c r="BH29" i="9"/>
  <c r="AY85" i="9"/>
  <c r="AY89" i="9"/>
  <c r="AJ67" i="7"/>
  <c r="V11" i="8"/>
  <c r="W11" i="8"/>
  <c r="X11" i="8"/>
  <c r="AA11" i="8"/>
  <c r="AD11" i="8"/>
  <c r="AB11" i="8"/>
  <c r="AC11" i="8"/>
  <c r="BD26" i="9"/>
  <c r="BE26" i="9"/>
  <c r="AJ33" i="7"/>
  <c r="BH28" i="9"/>
  <c r="AJ95" i="7"/>
  <c r="BC113" i="9"/>
  <c r="BE113" i="9"/>
  <c r="AY61" i="9"/>
  <c r="AY54" i="9"/>
  <c r="BG81" i="9"/>
  <c r="BH81" i="9" s="1"/>
  <c r="BG83" i="9"/>
  <c r="BG84" i="9"/>
  <c r="BG82" i="9"/>
  <c r="BH82" i="9" s="1"/>
  <c r="BI82" i="9" s="1"/>
  <c r="BG63" i="9"/>
  <c r="BH63" i="9"/>
  <c r="BI63" i="9"/>
  <c r="BG64" i="9"/>
  <c r="BH64" i="9"/>
  <c r="BI64" i="9"/>
  <c r="BG61" i="9"/>
  <c r="BF40" i="9"/>
  <c r="BH40" i="9"/>
  <c r="BI40" i="9"/>
  <c r="AJ47" i="7"/>
  <c r="BF39" i="9"/>
  <c r="BH39" i="9"/>
  <c r="BI39" i="9"/>
  <c r="BF41" i="9"/>
  <c r="BH41" i="9"/>
  <c r="AJ32" i="7"/>
  <c r="BD91" i="9"/>
  <c r="BE91" i="9"/>
  <c r="BD87" i="9"/>
  <c r="BE87" i="9" s="1"/>
  <c r="BI87" i="9" s="1"/>
  <c r="BF43" i="9"/>
  <c r="BH43" i="9"/>
  <c r="BF44" i="9"/>
  <c r="BH44" i="9"/>
  <c r="BF45" i="9"/>
  <c r="BH45" i="9"/>
  <c r="AJ37" i="7"/>
  <c r="BF42" i="9"/>
  <c r="BH42" i="9"/>
  <c r="BI42" i="9"/>
  <c r="BF72" i="9"/>
  <c r="AJ62" i="7"/>
  <c r="BF73" i="9"/>
  <c r="AZ87" i="9"/>
  <c r="BC78" i="9"/>
  <c r="BE78" i="9"/>
  <c r="AJ59" i="7"/>
  <c r="BC37" i="9"/>
  <c r="BE37" i="9"/>
  <c r="BI37" i="9"/>
  <c r="AJ23" i="7"/>
  <c r="BC33" i="9"/>
  <c r="BE33" i="9"/>
  <c r="BI33" i="9"/>
  <c r="BC53" i="9"/>
  <c r="BE53" i="9"/>
  <c r="BC49" i="9"/>
  <c r="AJ46" i="7"/>
  <c r="AC83" i="1"/>
  <c r="W51" i="7"/>
  <c r="V46" i="8"/>
  <c r="AD46" i="8"/>
  <c r="Z85" i="7"/>
  <c r="AZ126" i="9"/>
  <c r="AC46" i="8"/>
  <c r="Y85" i="7"/>
  <c r="AY126" i="9"/>
  <c r="X46" i="8"/>
  <c r="AA46" i="8" s="1"/>
  <c r="W85" i="7" s="1"/>
  <c r="W46" i="8"/>
  <c r="AB46" i="8"/>
  <c r="U85" i="7"/>
  <c r="BD126" i="9"/>
  <c r="AC106" i="1"/>
  <c r="W63" i="7"/>
  <c r="BH61" i="9"/>
  <c r="BF11" i="9"/>
  <c r="BH11" i="9"/>
  <c r="BI11" i="9" s="1"/>
  <c r="BF13" i="9"/>
  <c r="AJ24" i="7"/>
  <c r="BF10" i="9"/>
  <c r="BH10" i="9"/>
  <c r="BI10" i="9"/>
  <c r="BF8" i="9"/>
  <c r="BF12" i="9"/>
  <c r="BH12" i="9"/>
  <c r="BF9" i="9"/>
  <c r="BH9" i="9"/>
  <c r="AC47" i="1"/>
  <c r="BH68" i="9"/>
  <c r="BI68" i="9" s="1"/>
  <c r="AJ52" i="7"/>
  <c r="AJ79" i="7"/>
  <c r="BC104" i="9"/>
  <c r="BE104" i="9"/>
  <c r="AJ90" i="7"/>
  <c r="BC111" i="9"/>
  <c r="AJ92" i="7"/>
  <c r="BC110" i="9"/>
  <c r="BC109" i="9"/>
  <c r="AJ85" i="7"/>
  <c r="BC126" i="9"/>
  <c r="BE126" i="9"/>
  <c r="BC95" i="9"/>
  <c r="BE95" i="9"/>
  <c r="AJ87" i="7"/>
  <c r="BC94" i="9"/>
  <c r="AJ86" i="7"/>
  <c r="BC124" i="9"/>
  <c r="BE124" i="9"/>
  <c r="BD109" i="9"/>
  <c r="BD110" i="9"/>
  <c r="BE110" i="9" s="1"/>
  <c r="BD111" i="9"/>
  <c r="BE111" i="9" s="1"/>
  <c r="BI81" i="9"/>
  <c r="BC88" i="9"/>
  <c r="AJ70" i="7"/>
  <c r="BC92" i="9"/>
  <c r="BC115" i="9"/>
  <c r="BC116" i="9"/>
  <c r="BC114" i="9"/>
  <c r="AJ97" i="7"/>
  <c r="BI28" i="9"/>
  <c r="AB14" i="8"/>
  <c r="U88" i="7"/>
  <c r="BD94" i="9"/>
  <c r="BE94" i="9" s="1"/>
  <c r="BH8" i="9"/>
  <c r="BC72" i="9"/>
  <c r="BE72" i="9"/>
  <c r="AJ63" i="7"/>
  <c r="BI26" i="9"/>
  <c r="BH83" i="9"/>
  <c r="BI83" i="9"/>
  <c r="BD88" i="9"/>
  <c r="BD92" i="9"/>
  <c r="BE92" i="9" s="1"/>
  <c r="BI92" i="9" s="1"/>
  <c r="BH91" i="9"/>
  <c r="BI91" i="9"/>
  <c r="AJ94" i="7"/>
  <c r="BC112" i="9"/>
  <c r="BE112" i="9"/>
  <c r="BC41" i="9"/>
  <c r="BE41" i="9"/>
  <c r="BI41" i="9"/>
  <c r="AJ51" i="7"/>
  <c r="BI29" i="9"/>
  <c r="BI61" i="9"/>
  <c r="BI47" i="9"/>
  <c r="AZ109" i="9"/>
  <c r="AZ111" i="9"/>
  <c r="AZ110" i="9"/>
  <c r="BH13" i="9"/>
  <c r="BI13" i="9"/>
  <c r="BE49" i="9"/>
  <c r="BI49" i="9"/>
  <c r="BD79" i="9"/>
  <c r="BD76" i="9"/>
  <c r="BC30" i="9"/>
  <c r="BC34" i="9"/>
  <c r="AJ20" i="7"/>
  <c r="BH84" i="9"/>
  <c r="BI84" i="9"/>
  <c r="AZ114" i="9"/>
  <c r="AZ115" i="9"/>
  <c r="AZ116" i="9"/>
  <c r="BI8" i="9"/>
  <c r="BI53" i="9"/>
  <c r="BH14" i="9"/>
  <c r="BI14" i="9"/>
  <c r="AJ60" i="7"/>
  <c r="BC79" i="9"/>
  <c r="BC76" i="9"/>
  <c r="BC9" i="9"/>
  <c r="BE9" i="9"/>
  <c r="BI9" i="9"/>
  <c r="AJ26" i="7"/>
  <c r="BC12" i="9"/>
  <c r="BE12" i="9"/>
  <c r="BI12" i="9"/>
  <c r="AY116" i="9"/>
  <c r="AY115" i="9"/>
  <c r="AY114" i="9"/>
  <c r="BI27" i="9"/>
  <c r="BD115" i="9"/>
  <c r="BD116" i="9"/>
  <c r="BE116" i="9" s="1"/>
  <c r="BD114" i="9"/>
  <c r="BD34" i="9"/>
  <c r="BE34" i="9" s="1"/>
  <c r="BI34" i="9" s="1"/>
  <c r="BD30" i="9"/>
  <c r="BH15" i="9"/>
  <c r="BF76" i="9"/>
  <c r="BH76" i="9"/>
  <c r="BF75" i="9"/>
  <c r="BH75" i="9"/>
  <c r="BI75" i="9"/>
  <c r="BF79" i="9"/>
  <c r="BH79" i="9"/>
  <c r="BF77" i="9"/>
  <c r="BH77" i="9"/>
  <c r="BI77" i="9"/>
  <c r="AJ58" i="7"/>
  <c r="BF80" i="9"/>
  <c r="BH80" i="9"/>
  <c r="BI80" i="9"/>
  <c r="BF78" i="9"/>
  <c r="BH78" i="9"/>
  <c r="BI78" i="9" s="1"/>
  <c r="BI44" i="9"/>
  <c r="BI43" i="9"/>
  <c r="BG72" i="9"/>
  <c r="BH72" i="9"/>
  <c r="BG74" i="9"/>
  <c r="BH74" i="9"/>
  <c r="BI74" i="9"/>
  <c r="BG73" i="9"/>
  <c r="BH73" i="9"/>
  <c r="BI73" i="9"/>
  <c r="BI15" i="9"/>
  <c r="AY111" i="9"/>
  <c r="AY110" i="9"/>
  <c r="AY109" i="9"/>
  <c r="BE30" i="9"/>
  <c r="BI30" i="9"/>
  <c r="BE115" i="9"/>
  <c r="BE109" i="9"/>
  <c r="BE79" i="9"/>
  <c r="BI79" i="9"/>
  <c r="BE88" i="9"/>
  <c r="BI88" i="9"/>
  <c r="AJ88" i="7"/>
  <c r="BI72" i="9"/>
  <c r="BE76" i="9"/>
  <c r="BI76" i="9"/>
  <c r="BE114" i="9"/>
  <c r="AD59" i="1" l="1"/>
  <c r="U21" i="7" s="1"/>
  <c r="AC59" i="1"/>
  <c r="W21" i="7" s="1"/>
  <c r="AJ12" i="7"/>
  <c r="AJ22" i="7"/>
  <c r="AY32" i="9"/>
  <c r="AY36" i="9"/>
  <c r="AC73" i="1"/>
  <c r="W41" i="7" s="1"/>
  <c r="AD73" i="1"/>
  <c r="U41" i="7" s="1"/>
  <c r="BD45" i="9" s="1"/>
  <c r="AJ13" i="7"/>
  <c r="AD90" i="1"/>
  <c r="AC90" i="1"/>
  <c r="AZ36" i="9"/>
  <c r="AZ32" i="9"/>
  <c r="T10" i="4"/>
  <c r="S10" i="4"/>
  <c r="U9" i="4"/>
  <c r="T9" i="4"/>
  <c r="R10" i="4"/>
  <c r="U10" i="4"/>
  <c r="S11" i="4"/>
  <c r="T11" i="4"/>
  <c r="S13" i="4"/>
  <c r="R13" i="4"/>
  <c r="R9" i="8"/>
  <c r="T9" i="8"/>
  <c r="AY38" i="9"/>
  <c r="AZ56" i="9"/>
  <c r="AY82" i="9"/>
  <c r="AZ88" i="9"/>
  <c r="AY88" i="9"/>
  <c r="X9" i="8" l="1"/>
  <c r="AC9" i="8"/>
  <c r="W9" i="8"/>
  <c r="AD9" i="8"/>
  <c r="V9" i="8"/>
  <c r="AA9" i="8"/>
  <c r="AB9" i="8"/>
  <c r="AJ41" i="7"/>
  <c r="BC45" i="9"/>
  <c r="BE45" i="9" s="1"/>
  <c r="BI45" i="9" s="1"/>
  <c r="BC35" i="9"/>
  <c r="AJ21" i="7"/>
  <c r="BC31" i="9"/>
  <c r="BD31" i="9"/>
  <c r="BD35" i="9"/>
  <c r="BE31" i="9" l="1"/>
  <c r="BI31" i="9" s="1"/>
  <c r="BE35" i="9"/>
  <c r="BI3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Reeves</author>
  </authors>
  <commentList>
    <comment ref="H1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Paul Reeves:</t>
        </r>
        <r>
          <rPr>
            <sz val="9"/>
            <color indexed="81"/>
            <rFont val="Tahoma"/>
            <family val="2"/>
          </rPr>
          <t xml:space="preserve">
minimum Et of 0.82 increased to 0.83 to staballize costs at minimum size and eff. range</t>
        </r>
      </text>
    </comment>
    <comment ref="K2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Paul Reeves:</t>
        </r>
        <r>
          <rPr>
            <sz val="9"/>
            <color indexed="81"/>
            <rFont val="Tahoma"/>
            <family val="2"/>
          </rPr>
          <t xml:space="preserve">
mininum cost coef. range of 67 kBTUh increased to 300 to stabalize costs at the minimum effic. and capacity range.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Reeves</author>
  </authors>
  <commentList>
    <comment ref="B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Paul Reeves:</t>
        </r>
        <r>
          <rPr>
            <sz val="9"/>
            <color indexed="81"/>
            <rFont val="Tahoma"/>
            <family val="2"/>
          </rPr>
          <t xml:space="preserve">
TechID not used for CostID when the control scenario is included in the TechID, since the control scenario is not a parameter in the cost model</t>
        </r>
      </text>
    </comment>
    <comment ref="R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Paul Reeves:</t>
        </r>
        <r>
          <rPr>
            <sz val="9"/>
            <color indexed="81"/>
            <rFont val="Tahoma"/>
            <family val="2"/>
          </rPr>
          <t xml:space="preserve">
AFUE rated condensing furnaces not included</t>
        </r>
      </text>
    </comment>
    <comment ref="T19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Paul Reeves:</t>
        </r>
        <r>
          <rPr>
            <sz val="9"/>
            <color indexed="81"/>
            <rFont val="Tahoma"/>
            <family val="2"/>
          </rPr>
          <t xml:space="preserve">
repeated technology cost since cost is not dependent on the type of reset control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Reeves</author>
  </authors>
  <commentList>
    <comment ref="C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Paul Reeves:</t>
        </r>
        <r>
          <rPr>
            <sz val="9"/>
            <color indexed="81"/>
            <rFont val="Tahoma"/>
            <family val="2"/>
          </rPr>
          <t xml:space="preserve">
for records that specify a TechID, the cost Description is taken from the technology definition</t>
        </r>
      </text>
    </comment>
  </commentList>
</comments>
</file>

<file path=xl/sharedStrings.xml><?xml version="1.0" encoding="utf-8"?>
<sst xmlns="http://schemas.openxmlformats.org/spreadsheetml/2006/main" count="7130" uniqueCount="852">
  <si>
    <t>DEER Packaged and Split HVAC Technology Cost Development</t>
  </si>
  <si>
    <t>8/31/2015</t>
  </si>
  <si>
    <t xml:space="preserve">This workbook documents the development of Residential and Commercial Split and Packaged HVAC technology costs and Commercial Boiler technology costs based on the Itron </t>
  </si>
  <si>
    <t xml:space="preserve">   "Ex Ante Cost Study" (2010-2012_WO017_Ex_Ante_Measure_Cost_Study_-_Final_Report.pdf).</t>
  </si>
  <si>
    <t>Tab</t>
  </si>
  <si>
    <t>Description</t>
  </si>
  <si>
    <t>CostModel Coef</t>
  </si>
  <si>
    <t xml:space="preserve">The two tables on this worksheet compile the cost model data from table 3-11 and 3-17 from the Itron report for residential and commercial HVAC technologies, </t>
  </si>
  <si>
    <t>including the following cost categories:</t>
  </si>
  <si>
    <t>●</t>
  </si>
  <si>
    <t>spltDXHP</t>
  </si>
  <si>
    <t>commercial and residential SEER-rated, split system HP</t>
  </si>
  <si>
    <t>spltDXAC</t>
  </si>
  <si>
    <t>commercial and residential SEER-rated, split system AC</t>
  </si>
  <si>
    <t>pkgDX&lt;5tons</t>
  </si>
  <si>
    <t>commercial SEER rated packaged AC, 60,000 kBTU/hr rated capacity or less</t>
  </si>
  <si>
    <t>pkgDX&gt;5tons</t>
  </si>
  <si>
    <t>commercial EER-rated, packaged AC, 65,000 - 240,000 BTU/hr rated capacity</t>
  </si>
  <si>
    <t>pkgHP&lt;65k</t>
  </si>
  <si>
    <t>commercial SEER-rated, packaged HP less than 65,000 BTU/hr rated capacity</t>
  </si>
  <si>
    <t>Boiler&lt;300k</t>
  </si>
  <si>
    <t>commercial hot water boiler less than 300 kBTU/hr rated capacity</t>
  </si>
  <si>
    <t>Boiler&gt;300k</t>
  </si>
  <si>
    <t>commercial hot water boiler greater than 300 kBTU/hr rated capacity</t>
  </si>
  <si>
    <t>Boiler-Cond</t>
  </si>
  <si>
    <t>commercial hot water boiler - condensing</t>
  </si>
  <si>
    <t>StmBlr</t>
  </si>
  <si>
    <t>commercial steam boiler</t>
  </si>
  <si>
    <t>This table is used to apply the cost model to the applicable HVAC technologies utilized in DEER measures.</t>
  </si>
  <si>
    <t>pkg Technology</t>
  </si>
  <si>
    <t>These worksheets take the standard technology export from READI (exante1314 database) and apply the cost model to all applicable technologies.</t>
  </si>
  <si>
    <t>&amp;</t>
  </si>
  <si>
    <t>The following steps are taken to determine the technology cost values:</t>
  </si>
  <si>
    <t>boiler Technology</t>
  </si>
  <si>
    <t xml:space="preserve">the cost category (as listed above for various technology types) for each technology is determined. </t>
  </si>
  <si>
    <t xml:space="preserve">out-of-scope technologies are identified; technologies are out of scope based on specific parameter values (efficiency range and capacity range) </t>
  </si>
  <si>
    <t xml:space="preserve">  as well as overall technology type</t>
  </si>
  <si>
    <t>for the boiler technologies, new cost IDs are assigned based on unique costs (reset control scenario not part of boiler costs)</t>
  </si>
  <si>
    <t>A constant material cost (i.e. the cost does not vary by number of units) and a per-unit material cost is calculated according to the cost model</t>
  </si>
  <si>
    <t>MeasureCost</t>
  </si>
  <si>
    <t>This worksheet formats the cost data into the standard ex ante MeasureCost table format for import into the ex ante database.</t>
  </si>
  <si>
    <t xml:space="preserve">Measure </t>
  </si>
  <si>
    <t>This worksheet takes the standard Measure table export from READI for the relevant DEER measures and assigns the MeasCostID and StdCostID where applicable.</t>
  </si>
  <si>
    <t>Proposed addition to the ex ante "MeasureCost" table</t>
  </si>
  <si>
    <r>
      <t xml:space="preserve">Many HVAC technologies are defined for a range of capacities; for example, the technology: </t>
    </r>
    <r>
      <rPr>
        <sz val="11"/>
        <color indexed="30"/>
        <rFont val="Calibri"/>
        <family val="2"/>
      </rPr>
      <t>dxAC-Com-Pkg-135to240kBTUh-EER12.5-2Spd</t>
    </r>
    <r>
      <rPr>
        <sz val="11"/>
        <rFont val="Calibri"/>
        <family val="2"/>
      </rPr>
      <t>, which has the description:</t>
    </r>
  </si>
  <si>
    <t>EER-rated packaged Air Conditioner, Size Range: 135 - 240 kBTU/h, EER = 12.5 (1 spd IEER = 13.8, 2 spd IEER = 15.5), EIR = 0.231, Fan W/CFM = 0.41, two-speed fan, with Econo</t>
  </si>
  <si>
    <t>This technology has a normalizing unit of "Cap-Tons", or rated tons of cooling capacity, and has a capacity range of 11.5 - 20 tons.  Energy  savings and costs are defined "per ton" of</t>
  </si>
  <si>
    <t>installed capacity.   Claims that reference this technology specify the total number of tons being claimed; the total energy impacts and measures costs are calculated accordingly.</t>
  </si>
  <si>
    <r>
      <t xml:space="preserve">From the Cost Report, the material cost for the technology is determined using: </t>
    </r>
    <r>
      <rPr>
        <sz val="11"/>
        <color indexed="30"/>
        <rFont val="Calibri"/>
        <family val="2"/>
      </rPr>
      <t>Total Material cost = $4439.26 + $1150.27 * Cap-Ton</t>
    </r>
    <r>
      <rPr>
        <sz val="11"/>
        <color theme="1"/>
        <rFont val="Calibri"/>
        <family val="2"/>
        <scheme val="minor"/>
      </rPr>
      <t xml:space="preserve"> (see [pkg Technology] tab for details).</t>
    </r>
  </si>
  <si>
    <t>A single material cost cannot be determined for the technology as it is defined.  However, multiple cost records can be defined for specific capacity values for this technology.</t>
  </si>
  <si>
    <t>for example:</t>
  </si>
  <si>
    <t>12 ton:</t>
  </si>
  <si>
    <r>
      <t>CostID = dxAC-Com-EER12.5-2Spd-</t>
    </r>
    <r>
      <rPr>
        <sz val="11"/>
        <color indexed="30"/>
        <rFont val="Calibri"/>
        <family val="2"/>
      </rPr>
      <t>12ton</t>
    </r>
  </si>
  <si>
    <t>material cost / ton = ( $4439.26 + $1150.27 * 12)/12</t>
  </si>
  <si>
    <t>per ton</t>
  </si>
  <si>
    <t>14 ton:</t>
  </si>
  <si>
    <r>
      <t>CostID = dxAC-Com-EER12.5-2Spd-</t>
    </r>
    <r>
      <rPr>
        <sz val="11"/>
        <color indexed="30"/>
        <rFont val="Calibri"/>
        <family val="2"/>
      </rPr>
      <t>14ton</t>
    </r>
  </si>
  <si>
    <t>material cost / ton = ( $4439.26 + $1150.27 * 14)/14</t>
  </si>
  <si>
    <t>20 ton:</t>
  </si>
  <si>
    <r>
      <t>CostID = dxAC-Com-EER12.5-2Spd-</t>
    </r>
    <r>
      <rPr>
        <sz val="11"/>
        <color indexed="30"/>
        <rFont val="Calibri"/>
        <family val="2"/>
      </rPr>
      <t>20ton</t>
    </r>
  </si>
  <si>
    <t>material cost / ton = ( $4439.26 + $1150.27 * 20)/20</t>
  </si>
  <si>
    <t>Program administrator (PA) implementations for this technology type would likewise need to be defined for each individual capacity rating offered by the program.</t>
  </si>
  <si>
    <t xml:space="preserve">In some circumstances, such as if the PA incents only a specific piece of equipment or specific capacity, this may be a reasonable and efficient approach to defining </t>
  </si>
  <si>
    <t xml:space="preserve">Implementations and Measure Costs.  In other circumstances, however, this requirement may lead to having to define dozens of Implementations for a single technology type, </t>
  </si>
  <si>
    <t>all of which are derived from the same data.</t>
  </si>
  <si>
    <t>A relatively simple addition to the cost table, however, allows the cost model data to be utilized across the full range of the technology definition, without the need</t>
  </si>
  <si>
    <t xml:space="preserve">  to define cost records or Implementation records for individual technology capacities.</t>
  </si>
  <si>
    <t>The new cost record fields are:</t>
  </si>
  <si>
    <t>MatlCostConst</t>
  </si>
  <si>
    <r>
      <t xml:space="preserve">a material cost "constant" value; the units are $ per installation, in comparison to the existing </t>
    </r>
    <r>
      <rPr>
        <sz val="11"/>
        <color indexed="30"/>
        <rFont val="Calibri"/>
        <family val="2"/>
      </rPr>
      <t>MatlCost</t>
    </r>
    <r>
      <rPr>
        <sz val="11"/>
        <color theme="1"/>
        <rFont val="Calibri"/>
        <family val="2"/>
        <scheme val="minor"/>
      </rPr>
      <t xml:space="preserve"> field, which has units of $/Unit</t>
    </r>
  </si>
  <si>
    <t>LaborCostConst</t>
  </si>
  <si>
    <r>
      <t xml:space="preserve">a labor cost "constant" value; the units are $ per installation, in comparison to the existing </t>
    </r>
    <r>
      <rPr>
        <sz val="11"/>
        <color indexed="30"/>
        <rFont val="Calibri"/>
        <family val="2"/>
      </rPr>
      <t>LaborCost</t>
    </r>
    <r>
      <rPr>
        <sz val="11"/>
        <color theme="1"/>
        <rFont val="Calibri"/>
        <family val="2"/>
        <scheme val="minor"/>
      </rPr>
      <t xml:space="preserve"> field, which has units of $/Unit</t>
    </r>
  </si>
  <si>
    <t>MinUnit</t>
  </si>
  <si>
    <t>this field defines the minimum number of units that can be claimed for a single installation utilizing this cost record</t>
  </si>
  <si>
    <t>MaxUnit</t>
  </si>
  <si>
    <t>this field defines the maximum number of units that can be claimed for a single installation utilizing this cost record</t>
  </si>
  <si>
    <t>All new fields are optional and default to not being used, but If either the MatlCostConst or LaborCostConst fields are specified, the MinUnit and MaxUnit fields must also be specified.</t>
  </si>
  <si>
    <t xml:space="preserve">The basic material cost associated with a claim (i.e. not including locations cost adjustment) is determined as (Number of Installations) * MatlCostConst +  (Total Number of Units) * MatlCost, </t>
  </si>
  <si>
    <t xml:space="preserve">   as opposed to just the (Total Number of Units) * MatlCost.</t>
  </si>
  <si>
    <t xml:space="preserve">Claims that reference cost records that use these constant cost values need to claim individual installations of the technology or would need to specify the number </t>
  </si>
  <si>
    <t xml:space="preserve">  of installations being claimed. </t>
  </si>
  <si>
    <t xml:space="preserve">All existing ex ante cost records submitted by PAs are compatible with the proposed augmented cost record format, since all of the previously existing fields retain their definitions </t>
  </si>
  <si>
    <t xml:space="preserve">  and the new fields default to not being used.</t>
  </si>
  <si>
    <t>Issues:</t>
  </si>
  <si>
    <t xml:space="preserve">While the code requirement for the thermal efficiency of boilers over 300 kBTU/hr is 0.80, the data collection for the cost report did not </t>
  </si>
  <si>
    <t xml:space="preserve">  find any units with ratings less than 0.82.  As such, costs are not available for the standard replacement boilers over 300 kBTU/hr.</t>
  </si>
  <si>
    <t>The cost model leads to a lower cost for condensing boilers than for lower-efficiency non-condensing boilers.</t>
  </si>
  <si>
    <t>Cost Model Coefficients</t>
  </si>
  <si>
    <t>from 2010-2012_WO017_Ex_Ante_Measure_Cost_Study_-_Final_Report.pdf</t>
  </si>
  <si>
    <t>HVAC (packaged and split)</t>
  </si>
  <si>
    <t>parameter type =&gt;</t>
  </si>
  <si>
    <t>cont</t>
  </si>
  <si>
    <t>material costs at min/max range:</t>
  </si>
  <si>
    <t>Constants</t>
  </si>
  <si>
    <t>Eff</t>
  </si>
  <si>
    <t>SEER/EER Range</t>
  </si>
  <si>
    <t>Capacity</t>
  </si>
  <si>
    <t>Capacity Range</t>
  </si>
  <si>
    <t>Contractor</t>
  </si>
  <si>
    <t>Minimum Capacity</t>
  </si>
  <si>
    <t>Maximum Capacity</t>
  </si>
  <si>
    <t>Sector</t>
  </si>
  <si>
    <t>Category</t>
  </si>
  <si>
    <t>Intercept</t>
  </si>
  <si>
    <t>Manuf.</t>
  </si>
  <si>
    <t>Type</t>
  </si>
  <si>
    <t>SEER/EER</t>
  </si>
  <si>
    <t>Min</t>
  </si>
  <si>
    <t>Max</t>
  </si>
  <si>
    <t>tons</t>
  </si>
  <si>
    <t>MarkUp</t>
  </si>
  <si>
    <t>BTU/hr</t>
  </si>
  <si>
    <t>Min Eff.</t>
  </si>
  <si>
    <t>Max Eff.</t>
  </si>
  <si>
    <t>All</t>
  </si>
  <si>
    <t>SEER</t>
  </si>
  <si>
    <t>Com</t>
  </si>
  <si>
    <t>EER</t>
  </si>
  <si>
    <t>COm</t>
  </si>
  <si>
    <t>Commercial Space Heating Boilers</t>
  </si>
  <si>
    <t>Efficiency Range</t>
  </si>
  <si>
    <t>kBTU/hr</t>
  </si>
  <si>
    <t>AFUE</t>
  </si>
  <si>
    <t>Et</t>
  </si>
  <si>
    <t>Ex Ante database Technology Export</t>
  </si>
  <si>
    <t>Technology Group: dX AC Equipment (dxAC_equip)</t>
  </si>
  <si>
    <t>Technology Type: EER Rated Package Rooftop AC (pkgEER)</t>
  </si>
  <si>
    <t>This file created on 8/7/2015 10:35:27 AM while connected to localhost as sptviewer.</t>
  </si>
  <si>
    <t>Program/Database Description: READI v.2.2.1 (Current DEER and Non-DEER Ex Ante data.  Includes data for review)</t>
  </si>
  <si>
    <t>Cost Model</t>
  </si>
  <si>
    <t>Cost Coefficients</t>
  </si>
  <si>
    <t>MatlCost</t>
  </si>
  <si>
    <t>Minimum</t>
  </si>
  <si>
    <t>Maximum</t>
  </si>
  <si>
    <t>TechID</t>
  </si>
  <si>
    <t>TechSource</t>
  </si>
  <si>
    <t>1spd-IEER</t>
  </si>
  <si>
    <t>2spd-IEER</t>
  </si>
  <si>
    <t>Cap_Min_kBTUh</t>
  </si>
  <si>
    <t>Cap_Max_kBTUh</t>
  </si>
  <si>
    <t>Condenser_Type</t>
  </si>
  <si>
    <t>SensCapRatio</t>
  </si>
  <si>
    <t>COOLING-EIR</t>
  </si>
  <si>
    <t>CFMperTon</t>
  </si>
  <si>
    <t>WperCFM</t>
  </si>
  <si>
    <t>CrankRatio</t>
  </si>
  <si>
    <t>CRANKCASE-MAX-T</t>
  </si>
  <si>
    <t>Fan_spd</t>
  </si>
  <si>
    <t>Tech Desc</t>
  </si>
  <si>
    <t>Index</t>
  </si>
  <si>
    <t>$</t>
  </si>
  <si>
    <t>$/ton</t>
  </si>
  <si>
    <t>Markup</t>
  </si>
  <si>
    <t>$/unit</t>
  </si>
  <si>
    <t>Units</t>
  </si>
  <si>
    <t>dxAC-Com-Pkg-110to135kBTUh-EER10.1-1Spd</t>
  </si>
  <si>
    <t>DEER2015</t>
  </si>
  <si>
    <t>Air</t>
  </si>
  <si>
    <t>one-speed</t>
  </si>
  <si>
    <t>EER-rated packaged Air Conditioner, Size Range: 110 - 135 kBTU/h, EER = 10.1 (1 spd IEER = 10.6, 2 spd IEER = 13.6), EIR = 0, Fan W/CFM = 0.4, one-speed fan, with Econo</t>
  </si>
  <si>
    <t/>
  </si>
  <si>
    <t>out of scope</t>
  </si>
  <si>
    <t>dxAC-Com-Pkg-110to135kBTUh-EER11.0-1Spd</t>
  </si>
  <si>
    <t>EER-rated packaged Air Conditioner, Size Range: 110 - 135 kBTU/h, EER = 11 (1 spd IEER = 11.6, 2 spd IEER = 14.1), EIR = 0, Fan W/CFM = 0.4, one-speed fan, with Econo</t>
  </si>
  <si>
    <t>dxAC-Com-Pkg-110to135kBTUh-EER11.0-2Spd</t>
  </si>
  <si>
    <t>two-speed</t>
  </si>
  <si>
    <t>EER-rated packaged Air Conditioner, Size Range: 110 - 135 kBTU/h, EER = 11 (1 spd IEER = 11.6, 2 spd IEER = 14.1), EIR = 0.273, Fan W/CFM = 0.4, two-speed fan, with Econo</t>
  </si>
  <si>
    <t>dxAC-Com-Pkg-110to135kBTUh-EER11.5-2Spd</t>
  </si>
  <si>
    <t>EER-rated packaged Air Conditioner, Size Range: 110 - 135 kBTU/h, EER = 11.5 (1 spd IEER = 12.2, 2 spd IEER = 14.3), EIR = 0.26, Fan W/CFM = 0.4, two-speed fan, with Econo</t>
  </si>
  <si>
    <t>dxAC-Com-Pkg-110to135kBTUh-EER12.0-2Spd</t>
  </si>
  <si>
    <t>EER-rated packaged Air Conditioner, Size Range: 110 - 135 kBTU/h, EER = 12 (1 spd IEER = 12.8, 2 spd IEER = 14.6), EIR = 0.247, Fan W/CFM = 0.4, two-speed fan, with Econo</t>
  </si>
  <si>
    <t>dxAC-Com-Pkg-110to135kBTUh-EER12.5-2Spd</t>
  </si>
  <si>
    <t>EER-rated packaged Air Conditioner, Size Range: 110 - 135 kBTU/h, EER = 12.5 (1 spd IEER = 13.3, 2 spd IEER = 14.9), EIR = 0.236, Fan W/CFM = 0.4, two-speed fan, with Econo</t>
  </si>
  <si>
    <t>dxAC-Com-Pkg-135to240kBTUh-EER10.8-1Spd</t>
  </si>
  <si>
    <t>EER-rated packaged Air Conditioner, Size Range: 135 - 240 kBTU/h, EER = 10.8 (1 spd IEER = 11.4, 2 spd IEER = 13.3), EIR = 0, Fan W/CFM = 0.41, one-speed fan, with Econo</t>
  </si>
  <si>
    <t>dxAC-Com-Pkg-135to240kBTUh-EER10.8-2Spd</t>
  </si>
  <si>
    <t>EER-rated packaged Air Conditioner, Size Range: 135 - 240 kBTU/h, EER = 10.8 (1 spd IEER = 11.4, 2 spd IEER = 13.3), EIR = 0.274, Fan W/CFM = 0.41, two-speed fan, with Econo</t>
  </si>
  <si>
    <t>dxAC-Com-Pkg-135to240kBTUh-EER11.5-2Spd</t>
  </si>
  <si>
    <t>EER-rated packaged Air Conditioner, Size Range: 135 - 240 kBTU/h, EER = 11.5 (1 spd IEER = 12.4, 2 spd IEER = 14.2), EIR = 0.255, Fan W/CFM = 0.41, two-speed fan, with Econo</t>
  </si>
  <si>
    <t>dxAC-Com-Pkg-135to240kBTUh-EER12.0-2Spd</t>
  </si>
  <si>
    <t>EER-rated packaged Air Conditioner, Size Range: 135 - 240 kBTU/h, EER = 12 (1 spd IEER = 13.1, 2 spd IEER = 14.8), EIR = 0.243, Fan W/CFM = 0.41, two-speed fan, with Econo</t>
  </si>
  <si>
    <t>dxAC-Com-Pkg-135to240kBTUh-EER12.5-2Spd</t>
  </si>
  <si>
    <t>dxAC-Com-Pkg-135to240kBTUh-EER9.5-1Spd</t>
  </si>
  <si>
    <t>EER-rated packaged Air Conditioner, Size Range: 135 - 240 kBTU/h, EER = 9.5 (1 spd IEER = 11.4, 2 spd IEER = 11.6), EIR = 0, Fan W/CFM = 0.41, one-speed fan, with Econo</t>
  </si>
  <si>
    <t>dxAC-Com-Pkg-240to760kBTUh-EER10.0-VarSpd</t>
  </si>
  <si>
    <t>var-speed</t>
  </si>
  <si>
    <t>EER-rated packaged Air Conditioner, Size Range: 240 - 760 kBTU/h, EER = 10 (1 spd IEER = 10.6, 2 spd IEER = 11.9), EIR = 0.282, Fan W/CFM = 0.72, var-speed fan, with Econo</t>
  </si>
  <si>
    <t>dxAC-Com-Pkg-240to760kBTUh-EER10.8-2Spd</t>
  </si>
  <si>
    <t>EER-rated packaged Air Conditioner, Size Range: 240 - 760 kBTU/h, EER = 10.8 (1 spd IEER = 11.6, 2 spd IEER = 12.8), EIR = 0.255, Fan W/CFM = 0.61, two-speed fan, with Econo</t>
  </si>
  <si>
    <t>dxAC-Com-Pkg-240to760kBTUh-EER10.8-VarSpd</t>
  </si>
  <si>
    <t>EER-rated packaged Air Conditioner, Size Range: 240 - 760 kBTU/h, EER = 10.8 (1 spd IEER = 11.6, 2 spd IEER = 12.8), EIR = 0.256, Fan W/CFM = 0.72, var-speed fan, with Econo</t>
  </si>
  <si>
    <t>dxAC-Com-Pkg-240to760kBTUh-EER11.5-2Spd</t>
  </si>
  <si>
    <t>EER-rated packaged Air Conditioner, Size Range: 240 - 760 kBTU/h, EER = 11.5 (1 spd IEER = 12.4, 2 spd IEER = 13.6), EIR = 0.236, Fan W/CFM = 0.61, two-speed fan, with Econo</t>
  </si>
  <si>
    <t>dxAC-Com-Pkg-240to760kBTUh-EER11.5-VarSpd</t>
  </si>
  <si>
    <t>EER-rated packaged Air Conditioner, Size Range: 240 - 760 kBTU/h, EER = 11.5 (1 spd IEER = 12.4, 2 spd IEER = 13.6), EIR = 0.237, Fan W/CFM = 0.72, var-speed fan, with Econo</t>
  </si>
  <si>
    <t>dxAC-Com-Pkg-240to760kBTUh-EER12.5-2Spd</t>
  </si>
  <si>
    <t>EER-rated packaged Air Conditioner, Size Range: 240 - 760 kBTU/h, EER = 12.5 (1 spd IEER = 13.6, 2 spd IEER = 14.8), EIR = 0.213, Fan W/CFM = 0.61, two-speed fan, with Econo</t>
  </si>
  <si>
    <t>dxAC-Com-Pkg-240to760kBTUh-EER12.5-VarSpd</t>
  </si>
  <si>
    <t>EER-rated packaged Air Conditioner, Size Range: 240 - 760 kBTU/h, EER = 12.5 (1 spd IEER = 13.6, 2 spd IEER = 14.8), EIR = 0.212, Fan W/CFM = 0.72, var-speed fan, with Econo</t>
  </si>
  <si>
    <t>dxAC-Com-Pkg-240to760kBTUh-EER9.3-1Spd</t>
  </si>
  <si>
    <t>EER-rated packaged Air Conditioner, Size Range: 240 - 760 kBTU/h, EER = 9.3 (1 spd IEER = 11.1, 2 spd IEER = 11.1), EIR = 0, Fan W/CFM = 0.61, one-speed fan, with Econo</t>
  </si>
  <si>
    <t>dxAC-Com-Pkg-240to760kBTUh-EER9.5-VarSpd</t>
  </si>
  <si>
    <t>EER-rated packaged Air Conditioner, Size Range: 240 - 760 kBTU/h, EER = 9.5 (1 spd IEER = 11.3, 2 spd IEER = 11.3), EIR = 0, Fan W/CFM = 0.72, var-speed fan, with Econo</t>
  </si>
  <si>
    <t>dxAC-Com-Pkg-240to760kBTUh-EER9.8-1Spd</t>
  </si>
  <si>
    <t>EER-rated packaged Air Conditioner, Size Range: 240 - 760 kBTU/h, EER = 9.8 (1 spd IEER = 11.7, 2 spd IEER = 11.7), EIR = 0, Fan W/CFM = 0.61, one-speed fan, with Econo</t>
  </si>
  <si>
    <t>dxAC-Com-Pkg-240to760kBTUh-EER9.8-2Spd</t>
  </si>
  <si>
    <t>EER-rated packaged Air Conditioner, Size Range: 240 - 760 kBTU/h, EER = 9.8 (1 spd IEER = 10.4, 2 spd IEER = 11.7), EIR = 0.286, Fan W/CFM = 0.61, two-speed fan, with Econo</t>
  </si>
  <si>
    <t>dxAC-Com-Pkg-65to110kBTUh-EER10.1-1Spd-NoEcon</t>
  </si>
  <si>
    <t>EER-rated packaged Air Conditioner, Size Range: 65 - 110 kBTU/h, EER = 10.1 (1 spd IEER = 10.6, 2 spd IEER = 13.6), EIR = 0, Fan W/CFM = 0.4, one-speed fan, without Econo</t>
  </si>
  <si>
    <t>dxAC-Com-Pkg-65to110kBTUh-EER11.0-1Spd-NoEcon</t>
  </si>
  <si>
    <t>EER-rated packaged Air Conditioner, Size Range: 65 - 110 kBTU/h, EER = 11 (1 spd IEER = 11.6, 2 spd IEER = 14.1), EIR = 0, Fan W/CFM = 0.4, one-speed fan, without Econo</t>
  </si>
  <si>
    <t>dxAC-Com-Pkg-65to110kBTUh-EER11.0-2Spd</t>
  </si>
  <si>
    <t>EER-rated packaged Air Conditioner, Size Range: 65 - 110 kBTU/h, EER = 11 (1 spd IEER = 11.6, 2 spd IEER = 14.1), EIR = 0.273, Fan W/CFM = 0.4, two-speed fan, with Econo</t>
  </si>
  <si>
    <t>dxAC-Com-Pkg-65to110kBTUh-EER11.5-2Spd</t>
  </si>
  <si>
    <t>EER-rated packaged Air Conditioner, Size Range: 65 - 110 kBTU/h, EER = 11.5 (1 spd IEER = 12.2, 2 spd IEER = 14.3), EIR = 0.26, Fan W/CFM = 0.4, two-speed fan, with Econo</t>
  </si>
  <si>
    <t>dxAC-Com-Pkg-65to110kBTUh-EER12.0-2Spd</t>
  </si>
  <si>
    <t>EER-rated packaged Air Conditioner, Size Range: 65 - 110 kBTU/h, EER = 12 (1 spd IEER = 12.8, 2 spd IEER = 14.6), EIR = 0.247, Fan W/CFM = 0.4, two-speed fan, with Econo</t>
  </si>
  <si>
    <t>dxAC-Com-Pkg-65to110kBTUh-EER13.0-2Spd</t>
  </si>
  <si>
    <t>EER-rated packaged Air Conditioner, Size Range: 65 - 110 kBTU/h, EER = 13 (1 spd IEER = 13.9, 2 spd IEER = 15.1), EIR = 0.226, Fan W/CFM = 0.4, two-speed fan, with Econo</t>
  </si>
  <si>
    <t>dxAC-Com-Pkg-gte760kBTUh-EER10.2-2Spd</t>
  </si>
  <si>
    <t>EER-rated packaged Air Conditioner, Size Range: 760 -  kBTU/h, EER = 10.2 (1 spd IEER = 10.9, 2 spd IEER = 12.1), EIR = 0.273, Fan W/CFM = 0.61, two-speed fan, with Econo</t>
  </si>
  <si>
    <t>dxAC-Com-Pkg-gte760kBTUh-EER10.2-VarSpd</t>
  </si>
  <si>
    <t>EER-rated packaged Air Conditioner, Size Range: 760 -  kBTU/h, EER = 10.2 (1 spd IEER = 10.9, 2 spd IEER = 12.1), EIR = 0.275, Fan W/CFM = 0.72, var-speed fan, with Econo</t>
  </si>
  <si>
    <t>dxAC-Com-Pkg-gte760kBTUh-EER11.0-2Spd</t>
  </si>
  <si>
    <t>EER-rated packaged Air Conditioner, Size Range: 760 -  kBTU/h, EER = 11 (1 spd IEER = 11.8, 2 spd IEER = 13.1), EIR = 0.249, Fan W/CFM = 0.61, two-speed fan, with Econo</t>
  </si>
  <si>
    <t>dxAC-Com-Pkg-gte760kBTUh-EER11.0-VarSpd</t>
  </si>
  <si>
    <t>EER-rated packaged Air Conditioner, Size Range: 760 -  kBTU/h, EER = 11 (1 spd IEER = 11.8, 2 spd IEER = 13.1), EIR = 0.25, Fan W/CFM = 0.72, var-speed fan, with Econo</t>
  </si>
  <si>
    <t>dxAC-Com-Pkg-gte760kBTUh-EER12.0-2Spd</t>
  </si>
  <si>
    <t>EER-rated packaged Air Conditioner, Size Range: 760 -  kBTU/h, EER = 12 (1 spd IEER = 13, 2 spd IEER = 14.2), EIR = 0.224, Fan W/CFM = 0.61, two-speed fan, with Econo</t>
  </si>
  <si>
    <t>dxAC-Com-Pkg-gte760kBTUh-EER12.0-VarSpd</t>
  </si>
  <si>
    <t>EER-rated packaged Air Conditioner, Size Range: 760 -  kBTU/h, EER = 12 (1 spd IEER = 13, 2 spd IEER = 14.2), EIR = 0.224, Fan W/CFM = 0.72, var-speed fan, with Econo</t>
  </si>
  <si>
    <t>dxAC-Com-Pkg-gte760kBTUh-EER9.0-1Spd</t>
  </si>
  <si>
    <t>EER-rated packaged Air Conditioner, Size Range: 760 -  kBTU/h, EER = 9 (1 spd IEER = 10.7, 2 spd IEER = 10.7), EIR = 0, Fan W/CFM = 0.61, one-speed fan, with Econo</t>
  </si>
  <si>
    <t>dxAC-Com-Pkg-gte760kBTUh-EER9.2-VarSpd</t>
  </si>
  <si>
    <t>EER-rated packaged Air Conditioner, Size Range: 760 -  kBTU/h, EER = 9.2 (1 spd IEER = 11, 2 spd IEER = 11), EIR = 0, Fan W/CFM = 0.72, var-speed fan, with Econo</t>
  </si>
  <si>
    <t>dxAC-Com-Pkg-gte760kBTUh-EER9.5-1Spd</t>
  </si>
  <si>
    <t>EER-rated packaged Air Conditioner, Size Range: 760 -  kBTU/h, EER = 9.5 (1 spd IEER = 11.3, 2 spd IEER = 11.3), EIR = 0, Fan W/CFM = 0.61, one-speed fan, with Econo</t>
  </si>
  <si>
    <t>dxAC-Com-Pkg-gte760kBTUh-EER9.5-2Spd</t>
  </si>
  <si>
    <t>EER-rated packaged Air Conditioner, Size Range: 760 -  kBTU/h, EER = 9.5 (1 spd IEER = 10, 2 spd IEER = 11.3), EIR = 0.297, Fan W/CFM = 0.61, two-speed fan, with Econo</t>
  </si>
  <si>
    <t>dxAC-Com-Pkg-gte760kBTUh-EER9.7-VarSpd</t>
  </si>
  <si>
    <t>EER-rated packaged Air Conditioner, Size Range: 760 -  kBTU/h, EER = 9.7 (1 spd IEER = 10.3, 2 spd IEER = 11.6), EIR = 0.293, Fan W/CFM = 0.72, var-speed fan, with Econo</t>
  </si>
  <si>
    <t>Technology Type: SEER Rated Package Rooftop AC (pkgSEER)</t>
  </si>
  <si>
    <t>This file created on 8/7/2015 10:35:48 AM while connected to localhost as sptviewer.</t>
  </si>
  <si>
    <t>dxAC-Com-Pkg-55to65kBTUh-SEER-14.0</t>
  </si>
  <si>
    <t>Commercial SEER-rated Packaged Air Conditioners, Size Range: 55 - 65 kBTU/h, SEER = 14 (EER = 11.7), EIR = 0.249, Fan W/CFM = 0.29, two-speed fan, with Econo</t>
  </si>
  <si>
    <t>dxAC-Com-Pkg-55to65kBTUh-SEER-15.0</t>
  </si>
  <si>
    <t>Commercial SEER-rated Packaged Air Conditioners, Size Range: 55 - 65 kBTU/h, SEER = 15 (EER = 12.6), EIR = 0.236, Fan W/CFM = 0.25, two-speed fan, with Econo</t>
  </si>
  <si>
    <t>dxAC-Com-Pkg-55to65kBTUh-SEER-16.0</t>
  </si>
  <si>
    <t>Commercial SEER-rated Packaged Air Conditioners, Size Range: 55 - 65 kBTU/h, SEER = 16 (EER = 12.5), EIR = 0.238, Fan W/CFM = 0.27, two-speed fan, with Econo</t>
  </si>
  <si>
    <t>dxAC-Com-Pkg-55to65kBTUh-SEER-17.0</t>
  </si>
  <si>
    <t>Commercial SEER-rated Packaged Air Conditioners, Size Range: 55 - 65 kBTU/h, SEER = 17 (EER = 13.3), EIR = 0.223, Fan W/CFM = 0.27, two-speed fan, with Econo</t>
  </si>
  <si>
    <t>dxAC-Com-Pkg-55to65kBTUh-SEER-18.0</t>
  </si>
  <si>
    <t>Commercial SEER-rated Packaged Air Conditioners, Size Range: 55 - 65 kBTU/h, SEER = 18 (EER = 14), EIR = 0.209, Fan W/CFM = 0.27, two-speed fan, with Econo</t>
  </si>
  <si>
    <t>dxAC-Com-Pkg-lt55kBTUh-SEER-14.0</t>
  </si>
  <si>
    <t>Commercial SEER-rated Packaged Air Conditioners, Size Range: 18 - 55 kBTU/h, SEER = 14 (EER = 12), EIR = 0.246, Fan W/CFM = 0.29, one-speed fan, without Econo</t>
  </si>
  <si>
    <t>dxAC-Com-Pkg-lt55kBTUh-SEER-15.0</t>
  </si>
  <si>
    <t>Commercial SEER-rated Packaged Air Conditioners, Size Range: 18 - 55 kBTU/h, SEER = 15 (EER = 12.9), EIR = 0.234, Fan W/CFM = 0.25, one-speed fan, without Econo</t>
  </si>
  <si>
    <t>dxAC-Com-Pkg-lt55kBTUh-SEER-16.0</t>
  </si>
  <si>
    <t>Commercial SEER-rated Packaged Air Conditioners, Size Range: 18 - 55 kBTU/h, SEER = 16 (EER = 12.5), EIR = 0.238, Fan W/CFM = 0.27, two-speed fan, without Econo</t>
  </si>
  <si>
    <t>dxAC-Com-Pkg-lt55kBTUh-SEER-17.0</t>
  </si>
  <si>
    <t>Commercial SEER-rated Packaged Air Conditioners, Size Range: 18 - 55 kBTU/h, SEER = 17 (EER = 13.3), EIR = 0.223, Fan W/CFM = 0.27, two-speed fan, without Econo</t>
  </si>
  <si>
    <t>dxAC-Com-Pkg-lt55kBTUh-SEER-18.0</t>
  </si>
  <si>
    <t>Commercial SEER-rated Packaged Air Conditioners, Size Range: 18 - 55 kBTU/h, SEER = 18 (EER = 14), EIR = 0.209, Fan W/CFM = 0.27, two-speed fan, without Econo</t>
  </si>
  <si>
    <t>dxAC-Com-Pkg-SEER-10.0</t>
  </si>
  <si>
    <t>Commercial SEER-rated Packaged Air Conditioners, Size Range: 18 - 65 kBTU/h, SEER = 9.7 (EER = 9.2), EIR = 0.297, Fan W/CFM = 0.43, one-speed fan, without Econo</t>
  </si>
  <si>
    <t>dxAC-Com-Pkg-SEER-13.0</t>
  </si>
  <si>
    <t>Commercial SEER-rated Packaged Air Conditioners, Size Range: 18 - 65 kBTU/h, SEER = 13 (EER = 11.1), EIR = 0.256, Fan W/CFM = 0.38, one-speed fan, withpit Econo</t>
  </si>
  <si>
    <t>dxAC-Com-Split-45to55kBTUh-SEER-14.0</t>
  </si>
  <si>
    <t>Commercial SEER-rated split Air Conditioners, Size Range: 45 - 55 kBTU/h, SEER = 14 (EER = 11.8), EIR = 0.247, Fan W/CFM = 0.29, one-speed fan, without Econo</t>
  </si>
  <si>
    <t>dxAC-Com-Split-45to55kBTUh-SEER-15.0</t>
  </si>
  <si>
    <t>Commercial SEER-rated split Air Conditioners, Size Range: 45 - 55 kBTU/h, SEER = 15 (EER = 12.8), EIR = 0.232, Fan W/CFM = 0.25, one-speed fan, without Econo</t>
  </si>
  <si>
    <t>dxAC-Com-Split-45to55kBTUh-SEER-16.0</t>
  </si>
  <si>
    <t>Commercial SEER-rated split Air Conditioners, Size Range: 45 - 55 kBTU/h, SEER = 16 (EER = 12.5), EIR = 0.238, Fan W/CFM = 0.27, two-speed fan, without Econo</t>
  </si>
  <si>
    <t>dxAC-Com-Split-45to55kBTUh-SEER-17.0</t>
  </si>
  <si>
    <t>Commercial SEER-rated split Air Conditioners, Size Range: 45 - 55 kBTU/h, SEER = 17 (EER = 13.3), EIR = 0.223, Fan W/CFM = 0.27, two-speed fan, without Econo</t>
  </si>
  <si>
    <t>dxAC-Com-Split-45to55kBTUh-SEER-18.0</t>
  </si>
  <si>
    <t>Commercial SEER-rated split Air Conditioners, Size Range: 45 - 55 kBTU/h, SEER = 18 (EER = 14), EIR = 0.209, Fan W/CFM = 0.27, two-speed fan, without Econo</t>
  </si>
  <si>
    <t>dxAC-Com-Split-55to65kBTUh-SEER-14.0</t>
  </si>
  <si>
    <t>Commercial SEER-rated split Air Conditioners, Size Range: 55 - 65 kBTU/h, SEER = 14 (EER = 11.7), EIR = 0.249, Fan W/CFM = 0.29, two-speed fan, with Econo</t>
  </si>
  <si>
    <t>dxAC-Com-Split-55to65kBTUh-SEER-15.0</t>
  </si>
  <si>
    <t>Commercial SEER-rated split Air Conditioners, Size Range: 55 - 65 kBTU/h, SEER = 15 (EER = 12.6), EIR = 0.236, Fan W/CFM = 0.25, two-speed fan, with Econo</t>
  </si>
  <si>
    <t>dxAC-Com-Split-55to65kBTUh-SEER-16.0</t>
  </si>
  <si>
    <t>Commercial SEER-rated split Air Conditioners, Size Range: 55 - 65 kBTU/h, SEER = 16 (EER = 12.5), EIR = 0.238, Fan W/CFM = 0.27, two-speed fan, with Econo</t>
  </si>
  <si>
    <t>dxAC-Com-Split-55to65kBTUh-SEER-17.0</t>
  </si>
  <si>
    <t>Commercial SEER-rated split Air Conditioners, Size Range: 55 - 65 kBTU/h, SEER = 17 (EER = 13.3), EIR = 0.223, Fan W/CFM = 0.27, two-speed fan, with Econo</t>
  </si>
  <si>
    <t>dxAC-Com-Split-55to65kBTUh-SEER-18.0</t>
  </si>
  <si>
    <t>Commercial SEER-rated split Air Conditioners, Size Range: 55 - 65 kBTU/h, SEER = 18 (EER = 14), EIR = 0.209, Fan W/CFM = 0.27, two-speed fan, with Econo</t>
  </si>
  <si>
    <t>dxAC-Com-Split-lt45kBTUh-SEER-14.0</t>
  </si>
  <si>
    <t>Commercial SEER-rated split Air Conditioners, Size Range: 18 - 45 kBTU/h, SEER = 14 (EER = 12.2), EIR = 0.239, Fan W/CFM = 0.29, one-speed fan, without Econo</t>
  </si>
  <si>
    <t>dxAC-Com-Split-lt45kBTUh-SEER-15.0</t>
  </si>
  <si>
    <t>Commercial SEER-rated split Air Conditioners, Size Range: 18 - 45 kBTU/h, SEER = 15 (EER = 12.8), EIR = 0.232, Fan W/CFM = 0.25, one-speed fan, without Econo</t>
  </si>
  <si>
    <t>dxAC-Com-Split-lt45kBTUh-SEER-16.0</t>
  </si>
  <si>
    <t>Commercial SEER-rated split Air Conditioners, Size Range: 18 - 45 kBTU/h, SEER = 16 (EER = 12.5), EIR = 0.238, Fan W/CFM = 0.27, two-speed fan, without Econo</t>
  </si>
  <si>
    <t>dxAC-Com-Split-lt45kBTUh-SEER-17.0</t>
  </si>
  <si>
    <t>Commercial SEER-rated split Air Conditioners, Size Range: 18 - 45 kBTU/h, SEER = 17 (EER = 13.3), EIR = 0.223, Fan W/CFM = 0.27, two-speed fan, without Econo</t>
  </si>
  <si>
    <t>dxAC-Com-Split-lt45kBTUh-SEER-18.0</t>
  </si>
  <si>
    <t>Commercial SEER-rated split Air Conditioners, Size Range: 18 - 45 kBTU/h, SEER = 18 (EER = 14), EIR = 0.209, Fan W/CFM = 0.27, two-speed fan, without Econo</t>
  </si>
  <si>
    <t>dxAC-Com-Split-SEER-10.0</t>
  </si>
  <si>
    <t>Commercial SEER-rated split Air Conditioners, Size Range: 18 - 65 kBTU/h, SEER = 10 (EER = 8.5), EIR = 0.345, Fan W/CFM = 0.37, one-speed fan, without Econo</t>
  </si>
  <si>
    <t>dxAC-Com-Split-SEER-13.0</t>
  </si>
  <si>
    <t>Commercial SEER-rated split Air Conditioners, Size Range: 18 - 65 kBTU/h, SEER = 13 (EER = 11.1), EIR = 0.258, Fan W/CFM = 0.35, one-speed fan, without Econo</t>
  </si>
  <si>
    <t>dxAC-Res-EvapAC-SEER-17.4</t>
  </si>
  <si>
    <t>Res</t>
  </si>
  <si>
    <t>Evap</t>
  </si>
  <si>
    <t>Residential SEER-rated split Air Conditioners, Size Range: 18 - 45 kBTU/h, SEER = 17.4, one-speed fan, evaporative cooled condenser</t>
  </si>
  <si>
    <t>dxAC-Res-Split-45to65kBTUh-SEER-14.0</t>
  </si>
  <si>
    <t>Residencial SEER-rated split Air Conditioners, Size Range: 45 - 65 kBTU/h, SEER = 14 (EER = 11.8), EIR = 0.247, Fan W/CFM = 0.29, one-speed fan</t>
  </si>
  <si>
    <t>dxAC-Res-Split-lt45kBTUh-SEER-14.0</t>
  </si>
  <si>
    <t>Residencial SEER-rated split Air Conditioners, Size Range: 18 - 45 kBTU/h, SEER = 14 (EER = 12.2), EIR = 0.239, Fan W/CFM = 0.29, one-speed fan</t>
  </si>
  <si>
    <t>dxAC-Res-Split-SEER-10.0</t>
  </si>
  <si>
    <t>Residencial SEER-rated split Air Conditioners, Size Range: 18 - 65 kBTU/h, SEER = 10 (EER = 8.5), EIR = 0.345, Fan W/CFM = 0.37, one-speed fan</t>
  </si>
  <si>
    <t>dxAC-Res-Split-SEER-13.0</t>
  </si>
  <si>
    <t>Residencial SEER-rated split Air Conditioners, Size Range: 18 - 65 kBTU/h, SEER = 13 (EER = 11.1), EIR = 0.258, Fan W/CFM = 0.35, one-speed fan</t>
  </si>
  <si>
    <t>dxAC-Res-Split-SEER-15.0</t>
  </si>
  <si>
    <t>Residencial SEER-rated split Air Conditioners, Size Range: 18 - 65 kBTU/h, SEER = 15 (EER = 12.8), EIR = 0.232, Fan W/CFM = 0.25, one-speed fan</t>
  </si>
  <si>
    <t>dxAC-Res-Split-SEER-16.0</t>
  </si>
  <si>
    <t>Residencial SEER-rated split Air Conditioners, Size Range: 18 - 65 kBTU/h, SEER = 16 (EER = 12.5), EIR = 0.238, Fan W/CFM = 0.27, two-speed fan</t>
  </si>
  <si>
    <t>dxAC-Res-Split-SEER-17.0</t>
  </si>
  <si>
    <t>Residencial SEER-rated split Air Conditioners, Size Range: 18 - 65 kBTU/h, SEER = 17 (EER = 13.3), EIR = 0.223, Fan W/CFM = 0.27, two-speed fan</t>
  </si>
  <si>
    <t>dxAC-Res-Split-SEER-18.0</t>
  </si>
  <si>
    <t>Residencial SEER-rated split Air Conditioners, Size Range: 18 - 65 kBTU/h, SEER = 18 (EER = 14), EIR = 0.209, Fan W/CFM = 0.27, two-speed fan</t>
  </si>
  <si>
    <t>dxAC-Res-Split-SEER-19.0</t>
  </si>
  <si>
    <t>Residencial SEER-rated split Air Conditioners, Size Range: 18 - 65 kBTU/h, SEER = 19 (EER = 14.8), EIR = 0.201, Fan W/CFM = 0.23, two-speed fan</t>
  </si>
  <si>
    <t>dxAC-Res-Split-SEER-20.0</t>
  </si>
  <si>
    <t>Residencial SEER-rated split Air Conditioners, Size Range: 18 - 65 kBTU/h, SEER = 20 (EER = 15.6), EIR = 0.19, Fan W/CFM = 0.23, two-speed fan</t>
  </si>
  <si>
    <t>dxAC-Res-Split-SEER-21.0</t>
  </si>
  <si>
    <t>Residencial SEER-rated split Air Conditioners, Size Range: 18 - 65 kBTU/h, SEER = 21 (EER = 16.4), EIR = 0.18, Fan W/CFM = 0.23, two-speed fan</t>
  </si>
  <si>
    <t>HSPF</t>
  </si>
  <si>
    <t>COP</t>
  </si>
  <si>
    <t>dxHP-Com-Pkg-55to65kBTUh-SEER-14.0</t>
  </si>
  <si>
    <t>Commercial SEER-rated Packaged Heat Pumps, Size Range: 55 - 65 kBTU/h, SEER = 14 (HSPF = 8.0), EIR = 0.27, Fan W/CFM = 0.29, two-speed fan, with Econo</t>
  </si>
  <si>
    <t>dxHP-Com-Pkg-55to65kBTUh-SEER-15.0</t>
  </si>
  <si>
    <t>Commercial SEER-rated Packaged Heat Pumps, Size Range: 55 - 65 kBTU/h, SEER = 15 (HSPF = 8.2), EIR = 0.256, Fan W/CFM = 0.25, two-speed fan, with Econo</t>
  </si>
  <si>
    <t>dxHP-Com-Pkg-55to65kBTUh-SEER-16.0</t>
  </si>
  <si>
    <t>Commercial SEER-rated Packaged Heat Pumps, Size Range: 55 - 65 kBTU/h, SEER = 16 (HSPF = 8.5), EIR = 0.238, Fan W/CFM = 0.27, two-speed fan, with Econo</t>
  </si>
  <si>
    <t>dxHP-Com-Pkg-55to65kBTUh-SEER-17.0</t>
  </si>
  <si>
    <t>Commercial SEER-rated Packaged Heat Pumps, Size Range: 55 - 65 kBTU/h, SEER = 17 (HSPF = 9.0), EIR = 0.223, Fan W/CFM = 0.27, two-speed fan, with Econo</t>
  </si>
  <si>
    <t>dxHP-Com-Pkg-lt55kBTUh-SEER-14.0</t>
  </si>
  <si>
    <t>Commercial SEER-rated Packaged Heat Pumps, Size Range: 18 - 55 kBTU/h, SEER = 14 (HSPF = 8.0), EIR = 0.245, Fan W/CFM = 0.29, one-speed fan, without Econo</t>
  </si>
  <si>
    <t>dxHP-Com-Pkg-lt55kBTUh-SEER-15.0</t>
  </si>
  <si>
    <t>Commercial SEER-rated Packaged Heat Pumps, Size Range: 18 - 65 kBTU/h, SEER = 15 (HSPF = 8.2), EIR = 0.226, Fan W/CFM = 0.29, one-speed fan, without Econo</t>
  </si>
  <si>
    <t>dxHP-Com-Pkg-lt55kBTUh-SEER-16.0</t>
  </si>
  <si>
    <t>Commercial SEER-rated Packaged Heat Pumps, Size Range: 18 - 65 kBTU/h, SEER = 16 (HSPF = 8.5), EIR = 0.238, Fan W/CFM = 0.27, two-speed fan, without Econo</t>
  </si>
  <si>
    <t>dxHP-Com-Pkg-lt55kBTUh-SEER-17.0</t>
  </si>
  <si>
    <t>Commercial SEER-rated Packaged Heat Pumps, Size Range: 18 - 65 kBTU/h, SEER = 17 (HSPF = 9.0), EIR = 0.223, Fan W/CFM = 0.27, two-speed fan, without Econo</t>
  </si>
  <si>
    <t>dxHP-Com-Pkg-lt65kBTUh-SEER-10.0</t>
  </si>
  <si>
    <t>Commercial SEER-rated Packaged Heat Pumps, Size Range: 18 - 65 kBTU/h, SEER = 10 (HSPF = 7.1), EIR = 0.345, Fan W/CFM = 0.37, one-speed fan, without Econo</t>
  </si>
  <si>
    <t>dxHP-Com-Pkg-lt65kBTUh-SEER-13.0</t>
  </si>
  <si>
    <t>Commercial SEER-rated Packaged Heat Pumps, Size Range: 18 - 65 kBTU/h, SEER = 13 (HSPF = 8.2), EIR = 0.258, Fan W/CFM = 0.35, one-speed fan, without Econo</t>
  </si>
  <si>
    <t>dxHP-Com-Split-55to65kBTUh-SEER-14.0</t>
  </si>
  <si>
    <t>Commercial SEER-rated Split Heat Pumps, Size Range: 55 - 65 kBTU/h, SEER = 14 (HSPF = 8.2), EIR = 0.27, Fan W/CFM = 0.29, two-speed fan, with Econo</t>
  </si>
  <si>
    <t>dxHP-Com-Split-55to65kBTUh-SEER-15.0</t>
  </si>
  <si>
    <t>Commercial SEER-rated Split Heat Pumps, Size Range: 55 - 65 kBTU/h, SEER = 15 (HSPF = 8.7), EIR = 0.256, Fan W/CFM = 0.25, two-speed fan, with Econo</t>
  </si>
  <si>
    <t>dxHP-Com-Split-55to65kBTUh-SEER-16.0</t>
  </si>
  <si>
    <t>Commercial SEER-rated Split Heat Pumps, Size Range: 55 - 65 kBTU/h, SEER = 16 (HSPF = 9.0), EIR = 0.238, Fan W/CFM = 0.27, two-speed fan, with Econo</t>
  </si>
  <si>
    <t>dxHP-Com-Split-55to65kBTUh-SEER-17.0</t>
  </si>
  <si>
    <t>Commercial SEER-rated Split Heat Pumps, Size Range: 55 - 65 kBTU/h, SEER = 17 (HSPF = 9.4), EIR = 0.223, Fan W/CFM = 0.27, two-speed fan, with Econo</t>
  </si>
  <si>
    <t>dxHP-Com-Split-55to65kBTUh-SEER-18.0</t>
  </si>
  <si>
    <t>Commercial SEER-rated Split Heat Pumps, Size Range: 55 - 65 kBTU/h, SEER = 18 (HSPF = 9.7), EIR = 0.209, Fan W/CFM = 0.27, two-speed fan, with Econo</t>
  </si>
  <si>
    <t>dxHP-Com-Split-lt55kBTUh-SEER-14.0</t>
  </si>
  <si>
    <t>Commercial SEER-rated Split Heat Pumps, Size Range: 18 - 55 kBTU/h, SEER = 14 (HSPF = 8.2), EIR = 0.245, Fan W/CFM = 0.29, one-speed fan, without Econo</t>
  </si>
  <si>
    <t>dxHP-Com-Split-lt55kBTUh-SEER-15.0</t>
  </si>
  <si>
    <t>Commercial SEER-rated Split Heat Pumps, Size Range: 18 - 65 kBTU/h, SEER = 15 (HSPF = 8.7), EIR = 0.232, Fan W/CFM = 0.25, one-speed fan, without Econo</t>
  </si>
  <si>
    <t>dxHP-Com-Split-lt55kBTUh-SEER-16.0</t>
  </si>
  <si>
    <t>Commercial SEER-rated Split Heat Pumps, Size Range: 18 - 65 kBTU/h, SEER = 16 (HSPF = 9.0), EIR = 0.238, Fan W/CFM = 0.27, two-speed fan, without Econo</t>
  </si>
  <si>
    <t>dxHP-Com-Split-lt55kBTUh-SEER-17.0</t>
  </si>
  <si>
    <t>Commercial SEER-rated Split Heat Pumps, Size Range: 18 - 65 kBTU/h, SEER = 17 (HSPF = 9.4), EIR = 0.223, Fan W/CFM = 0.27, two-speed fan, without Econo</t>
  </si>
  <si>
    <t>dxHP-Com-Split-lt55kBTUh-SEER-18.0</t>
  </si>
  <si>
    <t>Commercial SEER-rated Split Heat Pumps, Size Range: 18 - 65 kBTU/h, SEER = 18 (HSPF = 9.7), EIR = 0.209, Fan W/CFM = 0.27, two-speed fan, without Econo</t>
  </si>
  <si>
    <t>dxHP-Com-Split-SEER-10.0</t>
  </si>
  <si>
    <t>Commercial SEER-rated Split Heat Pumps, Size Range: 18 - 65 kBTU/h, SEER = 10 (HSPF = 7.1), EIR = 0.345, Fan W/CFM = 0.37, one-speed fan, without Econo</t>
  </si>
  <si>
    <t>dxHP-Com-Split-SEER-13.0</t>
  </si>
  <si>
    <t>Commercial SEER-rated Split Heat Pumps, Size Range: 18 - 65 kBTU/h, SEER = 13 (HSPF = 8.2), EIR = 0.258, Fan W/CFM = 0.35, one-speed fan, without Econo</t>
  </si>
  <si>
    <t>dxHP-Res-Split-SEER-10.0</t>
  </si>
  <si>
    <t>Residential SEER-rated split Heat Pumps, SEER = 10 (EER = 8.5), HSPF = 7.1 (COP = 3.01), EIR = 0.345, Fan W/CFM = 0.37, one-speed fan</t>
  </si>
  <si>
    <t>dxHP-Res-Split-SEER-13.0</t>
  </si>
  <si>
    <t>Residential SEER-rated split Heat Pumps, SEER = 13 (EER = 11.1), HSPF = 8.2 (COP = 3.49), EIR = 0.258, Fan W/CFM = 0.35, one-speed fan</t>
  </si>
  <si>
    <t>dxHP-Res-Split-SEER-14.0</t>
  </si>
  <si>
    <t>Residential SEER-rated split Heat Pumps, SEER = 14 (EER = 11.9), HSPF = 8.2 (COP = 3.48), EIR = 0.245, Fan W/CFM = 0.29, one-speed fan</t>
  </si>
  <si>
    <t>dxHP-Res-Split-SEER-15.0</t>
  </si>
  <si>
    <t>Residential SEER-rated split Heat Pumps, SEER = 15 (EER = 12.8), HSPF = 8.7 (COP = 3.68), EIR = 0.232, Fan W/CFM = 0.25, one-speed fan</t>
  </si>
  <si>
    <t>dxHP-Res-Split-SEER-16.0</t>
  </si>
  <si>
    <t>Residential SEER-rated split Heat Pumps, SEER = 16 (EER = 12.5), HSPF = 9 (COP = 3.57), EIR = 0.238, Fan W/CFM = 0.27, two-speed fan</t>
  </si>
  <si>
    <t>dxHP-Res-Split-SEER-17.0</t>
  </si>
  <si>
    <t>Residential SEER-rated split Heat Pumps, SEER = 17 (EER = 13.3), HSPF = 9.4 (COP = 3.74), EIR = 0.223, Fan W/CFM = 0.27, two-speed fan</t>
  </si>
  <si>
    <t>dxHP-Res-Split-SEER-18.0</t>
  </si>
  <si>
    <t>Residential SEER-rated split Heat Pumps, SEER = 18 (EER = 14), HSPF = 9.7 (COP = 3.86), EIR = 0.209, Fan W/CFM = 0.27, two-speed fan</t>
  </si>
  <si>
    <t>DEER Boiler Technologies</t>
  </si>
  <si>
    <t>Eff within</t>
  </si>
  <si>
    <t>MeasCostID</t>
  </si>
  <si>
    <t>Version</t>
  </si>
  <si>
    <t>Case</t>
  </si>
  <si>
    <t>CapRange</t>
  </si>
  <si>
    <t>Min_HeatCap</t>
  </si>
  <si>
    <t>Max_HeatCap</t>
  </si>
  <si>
    <t>Effic</t>
  </si>
  <si>
    <t>AltEffic</t>
  </si>
  <si>
    <t>AltUnits</t>
  </si>
  <si>
    <t>Draft</t>
  </si>
  <si>
    <t>Condensing</t>
  </si>
  <si>
    <t>range</t>
  </si>
  <si>
    <t>In-Scope</t>
  </si>
  <si>
    <t>$/kBTU/hr</t>
  </si>
  <si>
    <t>W-Boiler_AF-lt300k-0.82-fDraft</t>
  </si>
  <si>
    <t>Standard</t>
  </si>
  <si>
    <t>HW</t>
  </si>
  <si>
    <t>&lt; 300</t>
  </si>
  <si>
    <t>fDraft</t>
  </si>
  <si>
    <t>no</t>
  </si>
  <si>
    <t>Hot water boiler (&lt; 300 kBtuh, 82.0 AFUE, OA Reset from 140 to 165 F)</t>
  </si>
  <si>
    <t>W-Boiler_Et-300to2500k-0.8-fDraft</t>
  </si>
  <si>
    <t>300 - 2500</t>
  </si>
  <si>
    <t>Hot water boiler (300 - 2500 kBtuh, 80.0 Et, OA Reset from 140 to 165 F)</t>
  </si>
  <si>
    <t>W-Boiler_Et-gt2500k-0.8-fDraft</t>
  </si>
  <si>
    <t>&gt; 2500</t>
  </si>
  <si>
    <t>Ec</t>
  </si>
  <si>
    <t>Hot water boiler (&gt; 2500 kBtuh, 80.0 Et, 82.0Ec, OA Reset from 140 to 165 F)</t>
  </si>
  <si>
    <t>S-Boiler_AF-lt300k-0.8-fDraft</t>
  </si>
  <si>
    <t>Stm</t>
  </si>
  <si>
    <t>Steam boiler (&lt; 300 kBtuh, 80.0 AFUE, OA Reset from 140 to 165 F)</t>
  </si>
  <si>
    <t>S-Boiler_Et-300to2500k-0.79-fDraft</t>
  </si>
  <si>
    <t>Steam boiler (300 - 2500 kBtuh, 79.0 Et, OA Reset from 140 to 165 F)</t>
  </si>
  <si>
    <t>S-Boiler_Et-gt2500k-0.79-fDraft</t>
  </si>
  <si>
    <t>Steam boiler (&gt; 2500 kBtuh, 79.0 Et, 82.0Ec, OA Reset from 140 to 165 F)</t>
  </si>
  <si>
    <t>W-Boiler_AF-lt300k-0.84-fDraft</t>
  </si>
  <si>
    <t>Measure</t>
  </si>
  <si>
    <t>Hot water boiler (&lt; 300 kBtuh, 84.0 AFUE, OA Reset from 140 to 165 F)</t>
  </si>
  <si>
    <t>W-Boiler_AF-lt300k-0.845-fDraft</t>
  </si>
  <si>
    <t>Hot water boiler (&lt; 300 kBtuh, 84.5 AFUE, OA Reset from 140 to 165 F)</t>
  </si>
  <si>
    <t>W-Boiler_AF-lt300k-0.85-fDraft</t>
  </si>
  <si>
    <t>Hot water boiler (&lt; 300 kBtuh, 85.0 AFUE, OA Reset from 140 to 165 F)</t>
  </si>
  <si>
    <t>W-Boiler_AF-lt300k-0.87-fDraft</t>
  </si>
  <si>
    <t>Hot water boiler (&lt; 300 kBtuh, 87.0 AFUE, OA Reset from 140 to 165 F)</t>
  </si>
  <si>
    <t>W-Boiler_AF-lt300k-0.9-fDraft-CndStd</t>
  </si>
  <si>
    <t>W-Boiler_AF-lt300k-0.9-fDraft</t>
  </si>
  <si>
    <t>yes</t>
  </si>
  <si>
    <t>Hot water boiler (&lt; 300 kBtuh, 90.0 AFUE, condensing, OA reset from 140 to 165 F)</t>
  </si>
  <si>
    <t>W-Boiler_AF-lt300k-0.9-fDraft-CndLow</t>
  </si>
  <si>
    <t>Hot water boiler (&lt; 300 kBtuh, 90.0 AFUE, condensing, OA reset from 115 to 140 F)</t>
  </si>
  <si>
    <t>W-Boiler_AF-lt300k-0.9-fDraft-CndReset</t>
  </si>
  <si>
    <t>Hot water boiler (&lt; 300 kBtuh, 90.0 AFUE, condensing, load reset from 115 to 140 F)</t>
  </si>
  <si>
    <t>W-Boiler_AF-lt300k-0.94-fDraft-CndStd</t>
  </si>
  <si>
    <t>W-Boiler_AF-lt300k-0.94-fDraft</t>
  </si>
  <si>
    <t>Hot water boiler (&lt; 300 kBtuh, 94.0 AFUE, condensing, OA reset from 140 to 165 F)</t>
  </si>
  <si>
    <t>W-Boiler_AF-lt300k-0.94-fDraft-CndLow</t>
  </si>
  <si>
    <t>Hot water boiler (&lt; 300 kBtuh, 94.0 AFUE, condensing, OA reset from 115 to 140 F)</t>
  </si>
  <si>
    <t>W-Boiler_AF-lt300k-0.94-fDraft-CndReset</t>
  </si>
  <si>
    <t>Hot water boiler (&lt; 300 kBtuh, 94.0 AFUE, condensing, load reset from 115 to 140 F)</t>
  </si>
  <si>
    <t>W-Boiler_Et-300to2500k-0.83-fDraft</t>
  </si>
  <si>
    <t>Hot water boiler (300 - 2500 kBtuh, 83.0 Et, OA Reset from 140 to 165 F)</t>
  </si>
  <si>
    <t>W-Boiler_Et-300to2500k-0.85-fDraft</t>
  </si>
  <si>
    <t>Hot water boiler (300 - 2500 kBtuh, 85.0 Et, OA Reset from 140 to 165 F)</t>
  </si>
  <si>
    <t>W-Boiler_Et-300to2500k-0.9-fDraft-CndStd</t>
  </si>
  <si>
    <t>W-Boiler_Et-300to2500k-0.9-fDraft</t>
  </si>
  <si>
    <t>Hot water boiler (300 - 2500 kBtuh, 90.0 Et, condensing, OA reset from 140 to 165 F)</t>
  </si>
  <si>
    <t>W-Boiler_Et-300to2500k-0.9-fDraft-CndLow</t>
  </si>
  <si>
    <t>Hot water boiler (300 - 2500 kBtuh, 90.0 Et, condensing, OA reset from 115 to 140 F)</t>
  </si>
  <si>
    <t>W-Boiler_Et-300to2500k-0.9-fDraft-CndReset</t>
  </si>
  <si>
    <t>Hot water boiler (300 - 2500 kBtuh, 90.0 Et, condensing, load reset from 115 to 140 F)</t>
  </si>
  <si>
    <t>W-Boiler_Et-300to2500k-0.94-fDraft-CndStd</t>
  </si>
  <si>
    <t>W-Boiler_Et-300to2500k-0.94-fDraft</t>
  </si>
  <si>
    <t>Hot water boiler (300 - 2500 kBtuh, 94.0 Et, condensing, OA reset from 140 to 165 F)</t>
  </si>
  <si>
    <t>W-Boiler_Et-300to2500k-0.94-fDraft-CndLow</t>
  </si>
  <si>
    <t>Hot water boiler (300 - 2500 kBtuh, 94.0 Et, condensing, OA reset from 115 to 140 F)</t>
  </si>
  <si>
    <t>W-Boiler_Et-300to2500k-0.94-fDraft-CndReset</t>
  </si>
  <si>
    <t>Hot water boiler (300 - 2500 kBtuh, 94.0 Et, condensing, load reset from 115 to 140 F)</t>
  </si>
  <si>
    <t>W-Boiler_Et-gt2500k-0.83-fDraft</t>
  </si>
  <si>
    <t>Hot water boiler (&gt; 2500 kBtuh, 83.0 Et, 85.0Ec, OA Reset from 140 to 165 F)</t>
  </si>
  <si>
    <t>W-Boiler_Et-gt2500k-0.85-fDraft</t>
  </si>
  <si>
    <t>Hot water boiler (&gt; 2500 kBtuh, 85.0 Et, 87.0Ec, OA Reset from 140 to 165 F)</t>
  </si>
  <si>
    <t>W-Boiler_Et-gt2500k-0.9-fDraft-CndStd</t>
  </si>
  <si>
    <t>W-Boiler_Et-gt2500k-0.9-fDraft</t>
  </si>
  <si>
    <t>Hot water boiler (&gt; 2500 kBtuh, 90.0 Et, condensing, OA reset from 140 to 165 F)</t>
  </si>
  <si>
    <t>W-Boiler_Et-gt2500k-0.9-fDraft-CndLow</t>
  </si>
  <si>
    <t>Hot water boiler (&gt; 2500 kBtuh, 90.0 Et, condensing, OA reset from 115 to 140 F)</t>
  </si>
  <si>
    <t>W-Boiler_Et-gt2500k-0.9-fDraft-CndReset</t>
  </si>
  <si>
    <t>Hot water boiler (&gt; 2500 kBtuh, 90.0 Et, condensing, load reset from 115 to 140 F)</t>
  </si>
  <si>
    <t>W-Boiler_Et-gt2500k-0.94-fDraft-CndStd</t>
  </si>
  <si>
    <t>W-Boiler_Et-gt2500k-0.94-fDraft</t>
  </si>
  <si>
    <t>Hot water boiler (&gt; 2500 kBtuh, 94.0 Et, condensing, OA reset from 140 to 165 F)</t>
  </si>
  <si>
    <t>W-Boiler_Et-gt2500k-0.94-fDraft-CndLow</t>
  </si>
  <si>
    <t>Hot water boiler (&gt; 2500 kBtuh, 94.0 Et, condensing, OA reset from 115 to 140 F)</t>
  </si>
  <si>
    <t>W-Boiler_Et-gt2500k-0.94-fDraft-CndReset</t>
  </si>
  <si>
    <t>Hot water boiler (&gt; 2500 kBtuh, 94.0 Et, condensing, load reset from 115 to 140 F)</t>
  </si>
  <si>
    <t>S-Boiler_AF-lt300k-0.82-fDraft</t>
  </si>
  <si>
    <t>Steam boiler (&lt; 300 kBtuh, 82.0 AFUE, OA Reset from 140 to 165 F)</t>
  </si>
  <si>
    <t>S-Boiler_AF-lt300k-0.83-fDraft</t>
  </si>
  <si>
    <t>Steam boiler (&lt; 300 kBtuh, 83.0 AFUE, OA Reset from 140 to 165 F)</t>
  </si>
  <si>
    <t>S-Boiler_Et-300to2500k-0.81-fDraft</t>
  </si>
  <si>
    <t>Steam boiler (300 - 2500 kBtuh, 81.0 Et, OA Reset from 140 to 165 F)</t>
  </si>
  <si>
    <t>S-Boiler_Et-300to2500k-0.82-fDraft</t>
  </si>
  <si>
    <t>Steam boiler (300 - 2500 kBtuh, 82.0 Et, OA Reset from 140 to 165 F)</t>
  </si>
  <si>
    <t>S-Boiler_Et-gt2500k-0.8-fDraft</t>
  </si>
  <si>
    <t>Steam boiler (&gt; 2500 kBtuh, 80.0 Et, OA Reset from 140 to 165 F)</t>
  </si>
  <si>
    <t>S-Boiler_Et-gt2500k-0.81-fDraft</t>
  </si>
  <si>
    <t>Steam boiler (&gt; 2500 kBtuh, 81.0 Et, OA Reset from 140 to 165 F)</t>
  </si>
  <si>
    <t>S-Boiler_Et-gt2500k-0.82-fDraft</t>
  </si>
  <si>
    <t>Steam boiler (&gt; 2500 kBtuh, 82.0 Et, OA Reset from 140 to 165 F)</t>
  </si>
  <si>
    <t>exante1314 database tables: MeasureCost</t>
  </si>
  <si>
    <t>This file created on 8/8/2015 2:36:12 PM while connected to localhost as sptviewer.</t>
  </si>
  <si>
    <t>Costs values per Unit</t>
  </si>
  <si>
    <t>New Field</t>
  </si>
  <si>
    <t>PA</t>
  </si>
  <si>
    <t>NormUnit</t>
  </si>
  <si>
    <t>VersionSource</t>
  </si>
  <si>
    <t>SourceDesc</t>
  </si>
  <si>
    <t>UseCategory</t>
  </si>
  <si>
    <t>UseSubCategory</t>
  </si>
  <si>
    <t>TechGroup</t>
  </si>
  <si>
    <t>TechType</t>
  </si>
  <si>
    <t>BldgType</t>
  </si>
  <si>
    <t>BldgVint</t>
  </si>
  <si>
    <t>BldgLoc</t>
  </si>
  <si>
    <t>CostQualifier</t>
  </si>
  <si>
    <t>CostType</t>
  </si>
  <si>
    <t>GenCost</t>
  </si>
  <si>
    <t>LaborCost</t>
  </si>
  <si>
    <t>InstallHrs</t>
  </si>
  <si>
    <t>MatlConst</t>
  </si>
  <si>
    <t>LaborConst</t>
  </si>
  <si>
    <t>LaborRate</t>
  </si>
  <si>
    <t>LocCostAdj</t>
  </si>
  <si>
    <t>MeasAppType</t>
  </si>
  <si>
    <t>DelivType</t>
  </si>
  <si>
    <t>NumUses</t>
  </si>
  <si>
    <t>StartDate</t>
  </si>
  <si>
    <t>ExpiryDate</t>
  </si>
  <si>
    <t>Status</t>
  </si>
  <si>
    <t>ReviewStatus</t>
  </si>
  <si>
    <t>Comment</t>
  </si>
  <si>
    <t>NomCostValue</t>
  </si>
  <si>
    <t>Any</t>
  </si>
  <si>
    <t>&lt;from TechID&gt;</t>
  </si>
  <si>
    <t>Cap-Ton</t>
  </si>
  <si>
    <t>DEER2016</t>
  </si>
  <si>
    <t>D16v3</t>
  </si>
  <si>
    <t>2010-2012_WO017_Ex_Ante_Measure_Cost_Study_-_Final_Report</t>
  </si>
  <si>
    <t>HVAC</t>
  </si>
  <si>
    <t>SpaceCool</t>
  </si>
  <si>
    <t>dxAC_equip</t>
  </si>
  <si>
    <t>pkgEER</t>
  </si>
  <si>
    <t>Full</t>
  </si>
  <si>
    <t>HVAC50</t>
  </si>
  <si>
    <t>RobNc</t>
  </si>
  <si>
    <t>Proposed</t>
  </si>
  <si>
    <t>DEER</t>
  </si>
  <si>
    <t>pkgSEER</t>
  </si>
  <si>
    <t>spltSEER</t>
  </si>
  <si>
    <t>Steam boiler (300 - 2500 kBtuh, 81.0 Et, forced draft)</t>
  </si>
  <si>
    <t>Cap-kBTUh</t>
  </si>
  <si>
    <t>SpaceHeat</t>
  </si>
  <si>
    <t>SteamHtg_eq</t>
  </si>
  <si>
    <t>Boiler_Et</t>
  </si>
  <si>
    <t>Steam boiler (300 - 2500 kBtuh, 82.0 Et, forced draft)</t>
  </si>
  <si>
    <t>Steam boiler (&gt; 2500 kBtuh, 81.0 Et, forced draft)</t>
  </si>
  <si>
    <t>Steam boiler (&gt; 2500 kBtuh, 82.0 Et, forced draft)</t>
  </si>
  <si>
    <t>Steam boiler (&gt; 2500 kBtuh, 80.0 Et, forced draft)</t>
  </si>
  <si>
    <t>Hot water boiler (&lt; 300 kBtuh, 84.5 AFUE, forced draft)</t>
  </si>
  <si>
    <t>WaterHtg_eq</t>
  </si>
  <si>
    <t>Boiler_AF</t>
  </si>
  <si>
    <t>Hot water boiler (&lt; 300 kBtuh, 84.0 AFUE, forced draft)</t>
  </si>
  <si>
    <t>Hot water boiler (&lt; 300 kBtuh, 85.0 AFUE, forced draft)</t>
  </si>
  <si>
    <t>Hot water boiler (300 - 2500 kBtuh, 83.0 Et, forced draft)</t>
  </si>
  <si>
    <t>Hot water boiler (300 - 2500 kBtuh, 85.0 Et, forced draft)</t>
  </si>
  <si>
    <t>Hot water boiler (300 - 2500 kBtuh, 94.0 Et, condensing, forced draft)</t>
  </si>
  <si>
    <t>Hot water boiler (300 - 2500 kBtuh, 90.0 Et, condensing, forced draft)</t>
  </si>
  <si>
    <t>Hot water boiler (&gt; 2500 kBtuh, 83.0 Et, 85.0Ec, forced draft)</t>
  </si>
  <si>
    <t>Hot water boiler (&gt; 2500 kBtuh, 85.0 Et, 87.0Ec, forced draft)</t>
  </si>
  <si>
    <t>Hot water boiler (&gt; 2500 kBtuh, 94.0 Et, condensing, forced draft)</t>
  </si>
  <si>
    <t>Hot water boiler (&gt; 2500 kBtuh, 90.0 Et, condensing, forced draft)</t>
  </si>
  <si>
    <t>Ex Ante Source Tables Export</t>
  </si>
  <si>
    <t>Measure Table (exante.Measure)</t>
  </si>
  <si>
    <t>This file created on 8/11/2015 11:50:01 AM while connected to localhost as sptviewer.</t>
  </si>
  <si>
    <t>Determination of Incremental Measure Cost</t>
  </si>
  <si>
    <t>size</t>
  </si>
  <si>
    <t>Meas Tech</t>
  </si>
  <si>
    <t>Std Tech</t>
  </si>
  <si>
    <t>MeasureID</t>
  </si>
  <si>
    <t>LastMod</t>
  </si>
  <si>
    <t>EnergyImpactID</t>
  </si>
  <si>
    <t>MeasImpactType</t>
  </si>
  <si>
    <t>EnImpCalcType</t>
  </si>
  <si>
    <t>ImpScaleBasis</t>
  </si>
  <si>
    <t>StdScaleVal</t>
  </si>
  <si>
    <t>PreScaleVal</t>
  </si>
  <si>
    <t>ImpWeighting</t>
  </si>
  <si>
    <t>WeightGroupID</t>
  </si>
  <si>
    <t>ApplyIE</t>
  </si>
  <si>
    <t>IETableName</t>
  </si>
  <si>
    <t>TechBased</t>
  </si>
  <si>
    <t>StdCostID</t>
  </si>
  <si>
    <t>EUL_ID</t>
  </si>
  <si>
    <t>PreDesc</t>
  </si>
  <si>
    <t>StdDesc</t>
  </si>
  <si>
    <t>MeasDesc</t>
  </si>
  <si>
    <t>PreTechID</t>
  </si>
  <si>
    <t>StdTechID</t>
  </si>
  <si>
    <t>MeasTechID</t>
  </si>
  <si>
    <t>PreMultiTech</t>
  </si>
  <si>
    <t>StdMultiTech</t>
  </si>
  <si>
    <t>SupportedAppType</t>
  </si>
  <si>
    <t>RUL_ID</t>
  </si>
  <si>
    <t>LegacyID</t>
  </si>
  <si>
    <t>MeasQualifierGroup</t>
  </si>
  <si>
    <t>MeasID_SCE</t>
  </si>
  <si>
    <t>MeasID_PGE</t>
  </si>
  <si>
    <t>MeasID_SDG</t>
  </si>
  <si>
    <t>MeasID_SCG</t>
  </si>
  <si>
    <t>MeasType</t>
  </si>
  <si>
    <t>min</t>
  </si>
  <si>
    <t>max</t>
  </si>
  <si>
    <t>use</t>
  </si>
  <si>
    <t>const</t>
  </si>
  <si>
    <t>per unit</t>
  </si>
  <si>
    <t>Incremental $/unit</t>
  </si>
  <si>
    <t>NE-HVAC-airAC-SpltPkg-65to109kBtuh-11p5eer</t>
  </si>
  <si>
    <t>EER-rated packaged Air Conditioner, Size Range: 65 - 110 kBTU/h, EER = 11.5 (1 spd IEER = 12.2, 2 spd IEER = 14.3), EIR = 0.26, Fan W/CFM = 0.4, two-speed fan, with Econo (Pre-existing vintages do not include Economizer)</t>
  </si>
  <si>
    <t>D15 v1.0</t>
  </si>
  <si>
    <t>None</t>
  </si>
  <si>
    <t>HVAC-airAC</t>
  </si>
  <si>
    <t>EER-Rated Pkg AC, 65-110 kBTU/h; 
Pre-2005: EER = 10.1 (1 spd IEER = 10.6, 2 spd IEER = 13.6), one-speed fan, no Econo;
2006 - 2009: EER = 10.1 (1 spd IEER = 10.6, 2 spd IEER = 13.6), one-speed fan, no Econo;
2010 - 2013: EER = 11 (1 spd IEER = 11.6, 2 spd IEER = 14.1), one-speed fan, no Econo;
2014 - 2015: EER = 11 (1 spd IEER = 11.6, 2 spd IEER = 14.1), two-speed fan, w/Econo</t>
  </si>
  <si>
    <t>Available</t>
  </si>
  <si>
    <t>ErRobNc</t>
  </si>
  <si>
    <t>NE-HVAC-airAC-SpltPkg-65to109kBtuh-12p0eer</t>
  </si>
  <si>
    <t>EER-rated packaged Air Conditioner, Size Range: 65 - 110 kBTU/h, EER = 12 (1 spd IEER = 12.8, 2 spd IEER = 14.6), EIR = 0.247, Fan W/CFM = 0.4, two-speed fan, with Econo (Pre-existing vintages do not include Economizer)</t>
  </si>
  <si>
    <t>NE-HVAC-airAC-SpltPkg-65to109kBtuh-13p0eer</t>
  </si>
  <si>
    <t>EER-rated packaged Air Conditioner, Size Range: 65 - 110 kBTU/h, EER = 13 (1 spd IEER = 13.9, 2 spd IEER = 15.1), EIR = 0.226, Fan W/CFM = 0.4, two-speed fan, with Econo (Pre-existing vintages do not include Economizer)</t>
  </si>
  <si>
    <t>NE-HVAC-airAC-SpltPkg-65to109kBtuh-11p5eer-wPreEcono</t>
  </si>
  <si>
    <t>EER-rated packaged Air Conditioner, Size Range: 65 - 110 kBTU/h, EER = 11.5 (1 spd IEER = 12.2, 2 spd IEER = 14.3), EIR = 0.26, Fan W/CFM = 0.4, two-speed fan, with Econo (Pre-existing vintages include Economizer)</t>
  </si>
  <si>
    <t>EER-Rated Pkg AC, 65-110 kBTU/h; 
Pre-2005: EER = 10.1 (1 spd IEER = 10.6, 2 spd IEER = 13.6), one-speed fan, w/Econo;
2006 - 2009: EER = 10.1 (1 spd IEER = 10.6, 2 spd IEER = 13.6), one-speed fan, w/Econo;
2010 - 2013: EER = 11 (1 spd IEER = 11.6, 2 spd IEER = 14.1), one-speed fan, w/Econo;
2014 - 2015: EER = 11 (1 spd IEER = 11.6, 2 spd IEER = 14.1), two-speed fan, w/Econo</t>
  </si>
  <si>
    <t>NE-HVAC-airAC-SpltPkg-65to109kBtuh-12p0eer-wPreEcono</t>
  </si>
  <si>
    <t>EER-rated packaged Air Conditioner, Size Range: 65 - 110 kBTU/h, EER = 12 (1 spd IEER = 12.8, 2 spd IEER = 14.6), EIR = 0.247, Fan W/CFM = 0.4, two-speed fan, with Econo (Pre-existing vintages include Economizer)</t>
  </si>
  <si>
    <t>NE-HVAC-airAC-SpltPkg-65to109kBtuh-13p0eer-wPreEcono</t>
  </si>
  <si>
    <t>EER-rated packaged Air Conditioner, Size Range: 65 - 110 kBTU/h, EER = 13 (1 spd IEER = 13.9, 2 spd IEER = 15.1), EIR = 0.226, Fan W/CFM = 0.4, two-speed fan, with Econo (Pre-existing vintages include Economizer)</t>
  </si>
  <si>
    <t>NE-HVAC-airAC-SpltPkg-110to134kBtuh-11p5eer</t>
  </si>
  <si>
    <t>EER-Rated Pkg AC, 110-135 kBTU/h; 
Pre-2005: EER = 10.1 (1 spd IEER = 10.6, 2 spd IEER = 13.6), one-speed fan, w/Econo;
2006 - 2009: EER = 10.1 (1 spd IEER = 10.6, 2 spd IEER = 13.6), one-speed fan, w/Econo;
2010 - 2013: EER = 11 (1 spd IEER = 11.6, 2 spd IEER = 14.1), one-speed fan, w/Econo;
2014 - 2015: EER = 11 (1 spd IEER = 11.6, 2 spd IEER = 14.1), two-speed fan, w/Econo</t>
  </si>
  <si>
    <t>NE-HVAC-airAC-SpltPkg-110to134kBtuh-12p0eer</t>
  </si>
  <si>
    <t>NE-HVAC-airAC-SpltPkg-110to134kBtuh-12p5eer</t>
  </si>
  <si>
    <t>NE-HVAC-airAC-SpltPkg-135to239kBtuh-11p5eer</t>
  </si>
  <si>
    <t>EER-Rated Pkg AC, 135-240 kBTU/h; 
Pre-2005: EER = 9.5 (1 spd IEER = 9.6, 2 spd IEER = 11.6), one-speed fan, w/Econo;
2006 - 2009: EER = 9.5 (1 spd IEER = 9.6, 2 spd IEER = 11.6), one-speed fan, w/Econo;
2010 - 2013: EER = 10.8 (1 spd IEER = 11.4, 2 spd IEER = 13.3), one-speed fan, w/Econo;
2014 - 2015: EER = 10.8 (1 spd IEER = 11.4, 2 spd IEER = 13.3), two-speed fan, w/Econo</t>
  </si>
  <si>
    <t>NE-HVAC-airAC-SpltPkg-135to239kBtuh-12p0eer</t>
  </si>
  <si>
    <t>NE-HVAC-airAC-SpltPkg-135to239kBtuh-12p5eer</t>
  </si>
  <si>
    <t>NE-HVAC-airAC-SpltPkg-240to759kBtuh-10p8eer</t>
  </si>
  <si>
    <t>EER-Rated Pkg AC, 240-760 kBTU/h; 
Pre-2005: EER = 9.3 (1 spd IEER = 9.8, 2 spd IEER = 11.1), one-speed fan, w/Econo;
2006 - 2009: EER = 9.3 (1 spd IEER = 9.8, 2 spd IEER = 11.1), one-speed fan, w/Econo;
2010 - 2013: EER = 9.8 (1 spd IEER = 10.4, 2 spd IEER = 11.7), one-speed fan, w/Econo;
2014 - 2015: EER = 9.8 (1 spd IEER = 10.4, 2 spd IEER = 11.7), two-speed fan, w/Econo</t>
  </si>
  <si>
    <t>Std and Meas Technologies vary by system configuration</t>
  </si>
  <si>
    <t>NE-HVAC-airAC-SpltPkg-240to759kBtuh-11p5eer</t>
  </si>
  <si>
    <t>NE-HVAC-airAC-SpltPkg-240to759kBtuh-12p5eer</t>
  </si>
  <si>
    <t>NE-HVAC-airAC-SpltPkg-gte760kBtuh-10p2eer</t>
  </si>
  <si>
    <t>EER-Rated Pkg AC, 760+ kBTU/h; 
Pre-2005: EER = 9 (1 spd IEER = 9.4, 2 spd IEER = 10.7), one-speed fan, w/Econo;
2006 - 2009: EER = 9 (1 spd IEER = 9.4, 2 spd IEER = 10.7), one-speed fan, w/Econo;
2010 - 2013: EER = 9.5 (1 spd IEER = 10, 2 spd IEER = 11.3), one-speed fan, w/Econo;
2014 - 2015: EER = 9.5 (1 spd IEER = 10, 2 spd IEER = 11.3), two-speed fan, w/Econo</t>
  </si>
  <si>
    <t>NE-HVAC-airAC-SpltPkg-gte760kBtuh-11p0eer</t>
  </si>
  <si>
    <t>NE-HVAC-airAC-SpltPkg-gte760kBtuh-12p0eer</t>
  </si>
  <si>
    <t>NE-HVAC-airAC-Pkg-lt55kBtuh-15p0seer</t>
  </si>
  <si>
    <t>Com SEER-Rated Pkg AC, 18-65 kBTU/h; 
pre-2001: SEER = 9.7 (EER = 9.21), one-speed fan, no Econo;
post-2001: SEER = 13 (EER = 11.06), one-speed fan, no Econo;
2014: SEER = 14 (EER = 12.04), one-speed fan, no Econo</t>
  </si>
  <si>
    <t>NE-HVAC-airAC-Pkg-lt55kBtuh-16p0seer</t>
  </si>
  <si>
    <t>NE-HVAC-airAC-Pkg-lt55kBtuh-17p0seer</t>
  </si>
  <si>
    <t>NE-HVAC-airAC-Pkg-lt55kBtuh-18p0seer</t>
  </si>
  <si>
    <t>NE-HVAC-airAC-Pkg-55to65kBtuh-15p0seer</t>
  </si>
  <si>
    <t>Commercial SEER-rated Packaged Air Conditioners, Size Range: 55 - 65 kBTU/h, SEER = 15 (EER = 12.6), EIR = 0.236, Fan W/CFM = 0.25, two-speed fan, with Econo (Pre-existing vintages do not include Economizer)</t>
  </si>
  <si>
    <t>Com SEER-Rated Pkg AC, 18-65 kBTU/h; 
pre-2001: SEER = 9.7 (EER = 9.21), one-speed fan, no Econo;
post-2001: SEER = 13 (EER = 11.06), one-speed fan, no Econo;
2014: SEER = 14 (EER = 11.75), two-speed fan, w/Econo</t>
  </si>
  <si>
    <t>NE-HVAC-airAC-Pkg-55to65kBtuh-16p0seer</t>
  </si>
  <si>
    <t>Commercial SEER-rated Packaged Air Conditioners, Size Range: 55 - 65 kBTU/h, SEER = 16 (EER = 12.5), EIR = 0.238, Fan W/CFM = 0.27, two-speed fan, with Econo (Pre-existing vintages do not include Economizer)</t>
  </si>
  <si>
    <t>NE-HVAC-airAC-Pkg-55to65kBtuh-17p0seer</t>
  </si>
  <si>
    <t>Commercial SEER-rated Packaged Air Conditioners, Size Range: 55 - 65 kBTU/h, SEER = 17 (EER = 13.3), EIR = 0.223, Fan W/CFM = 0.27, two-speed fan, with Econo (Pre-existing vintages do not include Economizer)</t>
  </si>
  <si>
    <t>NE-HVAC-airAC-Pkg-55to65kBtuh-18p0seer</t>
  </si>
  <si>
    <t>Commercial SEER-rated Packaged Air Conditioners, Size Range: 55 - 65 kBTU/h, SEER = 18 (EER = 14), EIR = 0.209, Fan W/CFM = 0.27, two-speed fan, with Econo (Pre-existing vintages do not include Economizer)</t>
  </si>
  <si>
    <t>NE-HVAC-airAC-Pkg-55to65kBtuh-15p0seer-wPreEcono</t>
  </si>
  <si>
    <t>Commercial SEER-rated Packaged Air Conditioners, Size Range: 55 - 65 kBTU/h, SEER = 15 (EER = 12.6), EIR = 0.236, Fan W/CFM = 0.25, two-speed fan, with Econo (Pre-existing vintages include Economizer)</t>
  </si>
  <si>
    <t>Com SEER-Rated Pkg AC, 18-65 kBTU/h; 
pre-2001: SEER = 9.7 (EER = 9.21), one-speed fan, w/Econo;
post-2001: SEER = 13 (EER = 11.06), one-speed fan, w/Econo;
2014: SEER = 14 (EER = 11.75), two-speed fan, w/Econo</t>
  </si>
  <si>
    <t>NE-HVAC-airAC-Pkg-55to65kBtuh-16p0seer-wPreEcono</t>
  </si>
  <si>
    <t>Commercial SEER-rated Packaged Air Conditioners, Size Range: 55 - 65 kBTU/h, SEER = 16 (EER = 12.5), EIR = 0.238, Fan W/CFM = 0.27, two-speed fan, with Econo (Pre-existing vintages include Economizer)</t>
  </si>
  <si>
    <t>NE-HVAC-airAC-Pkg-55to65kBtuh-17p0seer-wPreEcono</t>
  </si>
  <si>
    <t>Commercial SEER-rated Packaged Air Conditioners, Size Range: 55 - 65 kBTU/h, SEER = 17 (EER = 13.3), EIR = 0.223, Fan W/CFM = 0.27, two-speed fan, with Econo (Pre-existing vintages include Economizer)</t>
  </si>
  <si>
    <t>NE-HVAC-airAC-Pkg-55to65kBtuh-18p0seer-wPreEcono</t>
  </si>
  <si>
    <t>Commercial SEER-rated Packaged Air Conditioners, Size Range: 55 - 65 kBTU/h, SEER = 18 (EER = 14), EIR = 0.209, Fan W/CFM = 0.27, two-speed fan, with Econo (Pre-existing vintages include Economizer)</t>
  </si>
  <si>
    <t>NE-HVAC-airAC-Split-lt45kBtuh-15p0seer</t>
  </si>
  <si>
    <t>Commercial SEER-rated split Air Conditioners, 18-65 kBTU/h; 
pre-2001: SEER = 10 (EER = 8.52), one-speed fan, no Econo;
post-2001: SEER = 13 (EER = 11.08), one-speed fan, no Econo;
2014: SEER = 14 (EER = 12.17), one-speed fan, no Econo</t>
  </si>
  <si>
    <t>NE-HVAC-airAC-Split-lt45kBtuh-16p0seer</t>
  </si>
  <si>
    <t>NE-HVAC-airAC-Split-lt45kBtuh-17p0seer</t>
  </si>
  <si>
    <t>NE-HVAC-airAC-Split-lt45kBtuh-18p0seer</t>
  </si>
  <si>
    <t>NE-HVAC-airAC-Split-45to55kBtuh-15p0seer</t>
  </si>
  <si>
    <t>Commercial SEER-rated split Air Conditioners, 18-65 kBTU/h; 
pre-2001: SEER = 10 (EER = 8.52), one-speed fan, no Econo;
post-2001: SEER = 13 (EER = 11.08), one-speed fan, no Econo;
2014: SEER = 14 (EER = 11.82), one-speed fan, no Econo</t>
  </si>
  <si>
    <t>NE-HVAC-airAC-Split-45to55kBtuh-16p0seer</t>
  </si>
  <si>
    <t>NE-HVAC-airAC-Split-45to55kBtuh-17p0seer</t>
  </si>
  <si>
    <t>NE-HVAC-airAC-Split-45to55kBtuh-18p0seer</t>
  </si>
  <si>
    <t>NE-HVAC-airAC-Split-55to65kBtuh-15p0seer</t>
  </si>
  <si>
    <t>Commercial SEER-rated split Air Conditioners, Size Range: 55 - 65 kBTU/h, SEER = 15 (EER = 12.6), EIR = 0.236, Fan W/CFM = 0.25, two-speed fan, with Econo (Pre-existing vintages do not include Economizer)</t>
  </si>
  <si>
    <t>Commercial SEER-rated split Air Conditioners, 18-65 kBTU/h; 
pre-2001: SEER = 10 (EER = 8.52), one-speed fan, no Econo;
post-2001: SEER = 13 (EER = 11.08), one-speed fan, no Econo;
2014: SEER = 14 (EER = 11.75), two-speed fan, w/Econo</t>
  </si>
  <si>
    <t>NE-HVAC-airAC-Split-55to65kBtuh-16p0seer</t>
  </si>
  <si>
    <t>Commercial SEER-rated split Air Conditioners, Size Range: 55 - 65 kBTU/h, SEER = 16 (EER = 12.5), EIR = 0.238, Fan W/CFM = 0.27, two-speed fan, with Econo (Pre-existing vintages do not include Economizer)</t>
  </si>
  <si>
    <t>NE-HVAC-airAC-Split-55to65kBtuh-17p0seer</t>
  </si>
  <si>
    <t>Commercial SEER-rated split Air Conditioners, Size Range: 55 - 65 kBTU/h, SEER = 17 (EER = 13.3), EIR = 0.223, Fan W/CFM = 0.27, two-speed fan, with Econo (Pre-existing vintages do not include Economizer)</t>
  </si>
  <si>
    <t>NE-HVAC-airAC-Split-55to65kBtuh-18p0seer</t>
  </si>
  <si>
    <t>Commercial SEER-rated split Air Conditioners, Size Range: 55 - 65 kBTU/h, SEER = 18 (EER = 14), EIR = 0.209, Fan W/CFM = 0.27, two-speed fan, with Econo (Pre-existing vintages do not include Economizer)</t>
  </si>
  <si>
    <t>NE-HVAC-airAC-Split-55to65kBtuh-15p0seer-wPreEcono</t>
  </si>
  <si>
    <t>Commercial SEER-rated split Air Conditioners, Size Range: 55 - 65 kBTU/h, SEER = 15 (EER = 12.6), EIR = 0.236, Fan W/CFM = 0.25, two-speed fan, with Econo (Pre-existing vintages include Economizer)</t>
  </si>
  <si>
    <t>Commercial SEER-rated split Air Conditioners, 18-65 kBTU/h; 
pre-2001: SEER = 10 (EER = 8.52), one-speed fan, w/Econo;
post-2001: SEER = 13 (EER = 11.08), one-speed fan, w/Econo;
2014: SEER = 14 (EER = 11.75), two-speed fan, w/Econo</t>
  </si>
  <si>
    <t>NE-HVAC-airAC-Split-55to65kBtuh-16p0seer-wPreEcono</t>
  </si>
  <si>
    <t>Commercial SEER-rated split Air Conditioners, Size Range: 55 - 65 kBTU/h, SEER = 16 (EER = 12.5), EIR = 0.238, Fan W/CFM = 0.27, two-speed fan, with Econo (Pre-existing vintages include Economizer)</t>
  </si>
  <si>
    <t>NE-HVAC-airAC-Split-55to65kBtuh-17p0seer-wPreEcono</t>
  </si>
  <si>
    <t>Commercial SEER-rated split Air Conditioners, Size Range: 55 - 65 kBTU/h, SEER = 17 (EER = 13.3), EIR = 0.223, Fan W/CFM = 0.27, two-speed fan, with Econo (Pre-existing vintages include Economizer)</t>
  </si>
  <si>
    <t>NE-HVAC-airAC-Split-55to65kBtuh-18p0seer-wPreEcono</t>
  </si>
  <si>
    <t>Commercial SEER-rated split Air Conditioners, Size Range: 55 - 65 kBTU/h, SEER = 18 (EER = 14), EIR = 0.209, Fan W/CFM = 0.27, two-speed fan, with Econo (Pre-existing vintages include Economizer)</t>
  </si>
  <si>
    <t>RE-HV-ResAC-lt45kBtuh-15S</t>
  </si>
  <si>
    <t>Residential SEER-rated split Air Conditioners, Size Range: 18 - 65 kBTU/h, SEER = 15 (EER = 12.8), EIR = 0.232, Fan W/CFM = 0.25, one-speed fan</t>
  </si>
  <si>
    <t>HV-ResAC</t>
  </si>
  <si>
    <t>Residential SEER-rated split Air Conditioners, 18-65 kBTU/h; 
pre-2001: SEER = 10 (EER = 8.52), one-speed fan;
post-2001: SEER = 13 (EER = 11.08), one-speed fan;
2014: SEER = 14 (EER = 12.17), one-speed fan</t>
  </si>
  <si>
    <t>Residential SEER-rated split Air Conditioners, Size Range: 18 - 45 kBTU/h, SEER = 14 (EER = 12.2), EIR = 0.239, Fan W/CFM = 0.29, one-speed fan</t>
  </si>
  <si>
    <t>RE-HV-ResAC-lt45kBtuh-16S</t>
  </si>
  <si>
    <t>Residential SEER-rated split Air Conditioners, Size Range: 18 - 65 kBTU/h, SEER = 16 (EER = 12.5), EIR = 0.238, Fan W/CFM = 0.27, two-speed fan</t>
  </si>
  <si>
    <t>RE-HV-ResAC-lt45kBtuh-17S</t>
  </si>
  <si>
    <t>Residential SEER-rated split Air Conditioners, Size Range: 18 - 65 kBTU/h, SEER = 17 (EER = 13.3), EIR = 0.223, Fan W/CFM = 0.27, two-speed fan</t>
  </si>
  <si>
    <t>RE-HV-ResAC-lt45kBtuh-18S</t>
  </si>
  <si>
    <t>Residential SEER-rated split Air Conditioners, Size Range: 18 - 65 kBTU/h, SEER = 18 (EER = 14), EIR = 0.209, Fan W/CFM = 0.27, two-speed fan</t>
  </si>
  <si>
    <t>RE-HV-ResAC-lt45kBtuh-19S</t>
  </si>
  <si>
    <t>Residential SEER-rated split Air Conditioners, Size Range: 18 - 65 kBTU/h, SEER = 19 (EER = 14.8), EIR = 0.201, Fan W/CFM = 0.23, two-speed fan</t>
  </si>
  <si>
    <t>RE-HV-ResAC-lt45kBtuh-20S</t>
  </si>
  <si>
    <t>Residential SEER-rated split Air Conditioners, Size Range: 18 - 65 kBTU/h, SEER = 20 (EER = 15.6), EIR = 0.19, Fan W/CFM = 0.23, two-speed fan</t>
  </si>
  <si>
    <t>RE-HV-ResAC-lt45kBtuh-21S</t>
  </si>
  <si>
    <t>Residential SEER-rated split Air Conditioners, Size Range: 18 - 65 kBTU/h, SEER = 21 (EER = 16.4), EIR = 0.18, Fan W/CFM = 0.23, two-speed fan</t>
  </si>
  <si>
    <t>RE-HV-ResAC-45to65kBtuh-15S</t>
  </si>
  <si>
    <t>Residential SEER-rated split Air Conditioners, 18-65 kBTU/h; 
pre-2001: SEER = 10 (EER = 8.52), one-speed fan;
post-2001: SEER = 13 (EER = 11.08), one-speed fan;
2014: SEER = 14 (EER = 11.82), one-speed fan</t>
  </si>
  <si>
    <t>Residential SEER-rated split Air Conditioners, Size Range: 45 - 65 kBTU/h, SEER = 14 (EER = 11.8), EIR = 0.247, Fan W/CFM = 0.29, one-speed fan</t>
  </si>
  <si>
    <t>RE-HV-ResAC-45to65kBtuh-16S</t>
  </si>
  <si>
    <t>RE-HV-ResAC-45to65kBtuh-17S</t>
  </si>
  <si>
    <t>RE-HV-ResAC-45to65kBtuh-18S</t>
  </si>
  <si>
    <t>RE-HV-ResAC-45to65kBtuh-19S</t>
  </si>
  <si>
    <t>RE-HV-ResAC-45to65kBtuh-20S</t>
  </si>
  <si>
    <t>RE-HV-ResAC-45to65kBtuh-21S</t>
  </si>
  <si>
    <t>RE-HV-ResHP-15p0S-8p7H</t>
  </si>
  <si>
    <t>HeatCool</t>
  </si>
  <si>
    <t>dxHP_equip</t>
  </si>
  <si>
    <t>HVAC-airHP</t>
  </si>
  <si>
    <t>Res SEER-Rated Splt HP, 7.1-3.01 kBTU/h; 
pre-2001: SEER = 10 (HSPF = 7.1), one-speed fan;
post-2001: SEER = 13 (HSPF = 8.2), one-speed fan;
2014: SEER = 14 (HSPF = 8.2), one-speed fan</t>
  </si>
  <si>
    <t>RE-HV-ResHP-16p0S-9p0H</t>
  </si>
  <si>
    <t>RE-HV-ResHP-17p0S-9p4H</t>
  </si>
  <si>
    <t>RE-HV-ResHP-18p0S-9p7H</t>
  </si>
  <si>
    <t>NE-HVAC-airHP-Pkg-lt55kBtuh-15p0seer-8p2hspf</t>
  </si>
  <si>
    <t>Com SEER-Rated Pkg HP, 18-65 kBTU/h; 
pre-2001: SEER = 10 (HSPF = 7.1), one-speed fan, no Econo;
post-2001: SEER = 13 (HSPF = 8.2), one-speed fan, no Econo;
2014: SEER = 14 (HSPF = 8), one-speed fan, no Econo</t>
  </si>
  <si>
    <t>NE-HVAC-airHP-Pkg-lt55kBtuh-16p0seer-8p5hspf</t>
  </si>
  <si>
    <t>NE-HVAC-airHP-Pkg-lt55kBtuh-17p0seer-9p0hspf</t>
  </si>
  <si>
    <t>NE-HVAC-airHP-Pkg-55to65kBtuh-15p0seer-8p2hspf</t>
  </si>
  <si>
    <t>Com SEER-Rated Pkg HP, 18-65 kBTU/h; 
pre-2001: SEER = 10 (HSPF = 7.1), one-speed fan, no Econo;
post-2001: SEER = 13 (HSPF = 8.2), one-speed fan, no Econo;
2014: SEER = 14 (HSPF = 8), two-speed fan, w/Econo</t>
  </si>
  <si>
    <t>NE-HVAC-airHP-Pkg-55to65kBtuh-16p0seer-8p5hspf</t>
  </si>
  <si>
    <t>NE-HVAC-airHP-Pkg-55to65kBtuh-17p0seer-9p0hspf</t>
  </si>
  <si>
    <t>NE-HVAC-airHP-Pkg-55to65kBtuh-15p0seer-8p2hspf-wPreEcono</t>
  </si>
  <si>
    <t>Com SEER-Rated Pkg HP, 18-65 kBTU/h; 
pre-2001: SEER = 10 (HSPF = 7.1), one-speed fan, w/Econo;
post-2001: SEER = 13 (HSPF = 8.2), one-speed fan, w/Econo;
2014: SEER = 14 (HSPF = 8), two-speed fan, w/Econo</t>
  </si>
  <si>
    <t>NE-HVAC-airHP-Pkg-55to65kBtuh-16p0seer-8p5hspf-wPreEcono</t>
  </si>
  <si>
    <t>NE-HVAC-airHP-Pkg-55to65kBtuh-17p0seer-9p0hspf-wPreEcono</t>
  </si>
  <si>
    <t>NE-HVAC-airHP-Split-lt55kBtuh-15p0seer-8p7hspf</t>
  </si>
  <si>
    <t>Com SEER-Rated Split HP, 18-65 kBTU/h; 
pre-2001: SEER = 10 (HSPF = 7.1), one-speed fan, no Econo;
post-2001: SEER = 13 (HSPF = 8.2), one-speed fan, no Econo;
2014: SEER = 14 (HSPF = 8.2), one-speed fan, no Econo</t>
  </si>
  <si>
    <t>NE-HVAC-airHP-Split-lt55kBtuh-16p0seer-9p0hspf</t>
  </si>
  <si>
    <t>NE-HVAC-airHP-Split-lt55kBtuh-17p0seer-9p4hspf</t>
  </si>
  <si>
    <t>NE-HVAC-airHP-Split-lt55kBtuh-18p0seer-9p7hspf</t>
  </si>
  <si>
    <t>NE-HVAC-airHP-Split-55to65kBtuh-15p0seer-8p7hspf</t>
  </si>
  <si>
    <t>Com SEER-Rated Split HP, 18-65 kBTU/h; 
pre-2001: SEER = 10 (HSPF = 7.1), one-speed fan, no Econo;
post-2001: SEER = 13 (HSPF = 8.2), one-speed fan, no Econo;
2014: SEER = 14 (HSPF = 8.2), two-speed fan, w/Econo</t>
  </si>
  <si>
    <t>NE-HVAC-airHP-Split-55to65kBtuh-16p0seer-9p0hspf</t>
  </si>
  <si>
    <t>NE-HVAC-airHP-Split-55to65kBtuh-17p0seer-9p4hspf</t>
  </si>
  <si>
    <t>NE-HVAC-airHP-Split-55to65kBtuh-18p0seer-9p7hspf</t>
  </si>
  <si>
    <t>NE-HVAC-airHP-Split-55to65kBtuh-15p0seer-8p7hspf-wPreEcono</t>
  </si>
  <si>
    <t>Com SEER-Rated Split HP, 18-65 kBTU/h; 
pre-2001: SEER = 10 (HSPF = 7.1), one-speed fan, w/Econo;
post-2001: SEER = 13 (HSPF = 8.2), one-speed fan, w/Econo;
2014: SEER = 14 (HSPF = 8.2), two-speed fan, w/Econo</t>
  </si>
  <si>
    <t>NE-HVAC-airHP-Split-55to65kBtuh-16p0seer-9p0hspf-wPreEcono</t>
  </si>
  <si>
    <t>NE-HVAC-airHP-Split-55to65kBtuh-17p0seer-9p4hspf-wPreEcono</t>
  </si>
  <si>
    <t>NE-HVAC-airHP-Split-55to65kBtuh-18p0seer-9p7hspf-wPreEcono</t>
  </si>
  <si>
    <t>NG-HVAC-Blr-HW-lt300kBtuh-84p0AFUE-Drft</t>
  </si>
  <si>
    <t>D16v2</t>
  </si>
  <si>
    <t>HVAC-Blr</t>
  </si>
  <si>
    <t>Hot water boiler,&lt; 300 kBtuh; 
Pre-2005: 80.0 Et, No reset
2006 - 2009: 80.0 Et, OA Reset from 140 to 165 F
2010 - 2013: 80.0 Et, OA Reset from 140 to 165 F
2014 - 2015: 82.0 Et, OA Reset from 140 to 165 F</t>
  </si>
  <si>
    <t>DEER2016 Update (non-Ltg)</t>
  </si>
  <si>
    <t>NG-HVAC-Blr-HW-lt300kBtuh-84p5AFUE-Drft</t>
  </si>
  <si>
    <t>NG-HVAC-Blr-HW-lt300kBtuh-85p0AFUE-Drft</t>
  </si>
  <si>
    <t>NG-HVAC-Blr-HW-lt300kBtuh-87p0AFUE-Drft</t>
  </si>
  <si>
    <t>NG-HVAC-Blr-HW-lt300kBtuh-90p0AFUE-CndStd</t>
  </si>
  <si>
    <t>NG-HVAC-Blr-HW-lt300kBtuh-90p0AFUE-CndLow</t>
  </si>
  <si>
    <t>NG-HVAC-Blr-HW-lt300kBtuh-90p0AFUE-CndReset</t>
  </si>
  <si>
    <t>NG-HVAC-Blr-HW-lt300kBtuh-94p0AFUE-CndStd</t>
  </si>
  <si>
    <t>NG-HVAC-Blr-HW-lt300kBtuh-94p0AFUE-CndLow</t>
  </si>
  <si>
    <t>NG-HVAC-Blr-HW-lt300kBtuh-94p0AFUE-CndReset</t>
  </si>
  <si>
    <t>NG-HVAC-Blr-HW-300to2500kBtuh-83p0Et-Drft</t>
  </si>
  <si>
    <t>Hot water boiler,300 - 2500 kBtuh; 
Pre-2005: 75.0 Et, No reset
2006 - 2009: 75.0 Et, OA Reset from 140 to 165 F
2010 - 2013: 75.0 Et, OA Reset from 140 to 165 F
2014 - 2015: 80.0 Et, OA Reset from 140 to 165 F</t>
  </si>
  <si>
    <t>NG-HVAC-Blr-HW-300to2500kBtuh-85p0Et-Drft</t>
  </si>
  <si>
    <t>NG-HVAC-Blr-HW-300to2500kBtuh-90p0Et-CndStd</t>
  </si>
  <si>
    <t>NG-HVAC-Blr-HW-300to2500kBtuh-90p0Et-CndLow</t>
  </si>
  <si>
    <t>NG-HVAC-Blr-HW-300to2500kBtuh-90p0Et-CndReset</t>
  </si>
  <si>
    <t>NG-HVAC-Blr-HW-300to2500kBtuh-94p0Et-CndStd</t>
  </si>
  <si>
    <t>NG-HVAC-Blr-HW-300to2500kBtuh-94p0Et-CndLow</t>
  </si>
  <si>
    <t>NG-HVAC-Blr-HW-300to2500kBtuh-94p0Et-CndReset</t>
  </si>
  <si>
    <t>NG-HVAC-Blr-HW-gt2500kBtuh-83p0Et-Drft</t>
  </si>
  <si>
    <t>Hot water boiler,&gt; 2500 kBtuh; 
Pre-2005: 75.0 Et, No reset
2006 - 2009: 75.0 Et, OA Reset from 140 to 165 F
2010 - 2013: 75.0 Et, OA Reset from 140 to 165 F
2014 - 2015: 80.0 Et, OA Reset from 140 to 165 F</t>
  </si>
  <si>
    <t>NG-HVAC-Blr-HW-gt2500kBtuh-85p0Et-Drft</t>
  </si>
  <si>
    <t>NG-HVAC-Blr-HW-gt2500kBtuh-90p0Et-CndStd</t>
  </si>
  <si>
    <t>NG-HVAC-Blr-HW-gt2500kBtuh-90p0Et-CndLow</t>
  </si>
  <si>
    <t>NG-HVAC-Blr-HW-gt2500kBtuh-90p0Et-CndReset</t>
  </si>
  <si>
    <t>NG-HVAC-Blr-HW-gt2500kBtuh-94p0Et-CndStd</t>
  </si>
  <si>
    <t>NG-HVAC-Blr-HW-gt2500kBtuh-94p0Et-CndLow</t>
  </si>
  <si>
    <t>NG-HVAC-Blr-HW-gt2500kBtuh-94p0Et-CndReset</t>
  </si>
  <si>
    <t>NG-HVAC-Blr-Stm-lt300kBtuh-82p0AFUE-Drft</t>
  </si>
  <si>
    <t>Steam boiler,&lt; 300 kBtuh; 
Pre-2005: 75.0 Et, No reset
2006 - 2009: 75.0 Et, OA Reset from 140 to 165 F
2010 - 2013: 75.0 Et, OA Reset from 140 to 165 F
2014 - 2015: 80.0 Et, OA Reset from 140 to 165 F</t>
  </si>
  <si>
    <t>NG-HVAC-Blr-Stm-lt300kBtuh-83p0AFUE-Drft</t>
  </si>
  <si>
    <t>NG-HVAC-Blr-Stm-300to2500kBtuh-81p0Et-Drft</t>
  </si>
  <si>
    <t>Steam boiler,300 - 2500 kBtuh; 
Pre-2005: 75.0 Et, No reset
2006 - 2009: 75.0 Et, OA Reset from 140 to 165 F
2010 - 2013: 75.0 Et, OA Reset from 140 to 165 F
2014 - 2015: 79.0 Et, OA Reset from 140 to 165 F</t>
  </si>
  <si>
    <t>NG-HVAC-Blr-Stm-300to2500kBtuh-82p0Et-Drft</t>
  </si>
  <si>
    <t>NG-HVAC-Blr-Stm-gt2500kBtuh-80p0Et-Drft</t>
  </si>
  <si>
    <t>Steam boiler,&gt; 2500 kBtuh; 
Pre-2005: 75.0 Et, No reset
2006 - 2009: 75.0 Et, OA Reset from 140 to 165 F
2010 - 2013: 75.0 Et, OA Reset from 140 to 165 F
2014 - 2015: 79.0 Et, OA Reset from 140 to 165 F</t>
  </si>
  <si>
    <t>NG-HVAC-Blr-Stm-gt2500kBtuh-81p0Et-Drft</t>
  </si>
  <si>
    <t>NG-HVAC-Blr-Stm-gt2500kBtuh-82p0Et-Drft</t>
  </si>
  <si>
    <t>Technology Parameters for dxAC_equip:pkgEER</t>
  </si>
  <si>
    <t>TechTypeID</t>
  </si>
  <si>
    <t>ParamID</t>
  </si>
  <si>
    <t>ParamOrd</t>
  </si>
  <si>
    <t>Code</t>
  </si>
  <si>
    <t>Display</t>
  </si>
  <si>
    <t>ValueType</t>
  </si>
  <si>
    <t>ValMin</t>
  </si>
  <si>
    <t>ValMax</t>
  </si>
  <si>
    <t>List</t>
  </si>
  <si>
    <t>Required</t>
  </si>
  <si>
    <t>One-Speed IEER</t>
  </si>
  <si>
    <t>BTU/Watt</t>
  </si>
  <si>
    <t>Float</t>
  </si>
  <si>
    <t>Two-Speed IEER</t>
  </si>
  <si>
    <t>BTU/Whr</t>
  </si>
  <si>
    <t>Min Capacity (kBTUh)</t>
  </si>
  <si>
    <t>kBTUh</t>
  </si>
  <si>
    <t>Max Capacity (kBTUh)</t>
  </si>
  <si>
    <t>Condenser Type</t>
  </si>
  <si>
    <t>SHR</t>
  </si>
  <si>
    <t>ratio</t>
  </si>
  <si>
    <t>Text</t>
  </si>
  <si>
    <t>COOLING-IER (DOE2)</t>
  </si>
  <si>
    <t>Supply Fan CFM/Ton</t>
  </si>
  <si>
    <t>CFM/Ton</t>
  </si>
  <si>
    <t>Supply Fan W/CFM</t>
  </si>
  <si>
    <t>W/CFM</t>
  </si>
  <si>
    <t>CrankRatio (DOE2)</t>
  </si>
  <si>
    <t>CRANKCASE-MAX-T (DOE2)</t>
  </si>
  <si>
    <t>F</t>
  </si>
  <si>
    <t>Fan Speed</t>
  </si>
  <si>
    <t>Technology Parameters for dxAC_equip:pkgSEER and dxAC_equip:spltSEER</t>
  </si>
  <si>
    <t>Technology Parameter Lists utilized by TechType: pkgEER, pkgSEER and spltSEER</t>
  </si>
  <si>
    <t>Air-cooled Condenser</t>
  </si>
  <si>
    <t>Evaporatively-cooled Condenser</t>
  </si>
  <si>
    <t>Water</t>
  </si>
  <si>
    <t>Water-cooled Condenser</t>
  </si>
  <si>
    <t>constant volume fan</t>
  </si>
  <si>
    <t>two speed fan</t>
  </si>
  <si>
    <t>variable speed fan</t>
  </si>
  <si>
    <t>commercial sector</t>
  </si>
  <si>
    <t>residential sector</t>
  </si>
  <si>
    <t>Ind</t>
  </si>
  <si>
    <t>industrial sector</t>
  </si>
  <si>
    <t>Ag</t>
  </si>
  <si>
    <t>agricultural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</si>
</sst>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"/>
    <numFmt numFmtId="166" formatCode="_(* #,##0_);_(* \(#,##0\);_(* &quot;-&quot;??_);_(@_)"/>
    <numFmt numFmtId="167" formatCode="_(&quot;$&quot;* #,##0_);_(&quot;$&quot;* \(#,##0\);_(&quot;$&quot;* &quot;-&quot;??_);_(@_)"/>
  </numFmts>
  <fonts count="3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3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</font>
    <font>
      <i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20" applyNumberFormat="0" applyAlignment="0" applyProtection="0"/>
    <xf numFmtId="0" fontId="10" fillId="28" borderId="21" applyNumberFormat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22" applyNumberFormat="0" applyFill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20" applyNumberFormat="0" applyAlignment="0" applyProtection="0"/>
    <xf numFmtId="0" fontId="17" fillId="0" borderId="25" applyNumberFormat="0" applyFill="0" applyAlignment="0" applyProtection="0"/>
    <xf numFmtId="0" fontId="18" fillId="31" borderId="0" applyNumberFormat="0" applyBorder="0" applyAlignment="0" applyProtection="0"/>
    <xf numFmtId="0" fontId="4" fillId="0" borderId="0"/>
    <xf numFmtId="0" fontId="6" fillId="32" borderId="26" applyNumberFormat="0" applyFont="0" applyAlignment="0" applyProtection="0"/>
    <xf numFmtId="0" fontId="19" fillId="27" borderId="27" applyNumberFormat="0" applyAlignment="0" applyProtection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8" applyNumberFormat="0" applyFill="0" applyAlignment="0" applyProtection="0"/>
    <xf numFmtId="0" fontId="22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18" fillId="31" borderId="1" xfId="38" applyBorder="1"/>
    <xf numFmtId="0" fontId="0" fillId="33" borderId="8" xfId="0" applyFill="1" applyBorder="1" applyAlignment="1">
      <alignment horizontal="center"/>
    </xf>
    <xf numFmtId="0" fontId="14" fillId="0" borderId="23" xfId="33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right"/>
    </xf>
    <xf numFmtId="0" fontId="0" fillId="0" borderId="0" xfId="0" applyAlignment="1"/>
    <xf numFmtId="0" fontId="0" fillId="0" borderId="0" xfId="0"/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3" borderId="9" xfId="0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33" borderId="0" xfId="0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5" fontId="0" fillId="0" borderId="9" xfId="0" applyNumberFormat="1" applyFill="1" applyBorder="1" applyAlignment="1">
      <alignment horizontal="center"/>
    </xf>
    <xf numFmtId="9" fontId="6" fillId="0" borderId="10" xfId="42" applyFont="1" applyBorder="1" applyAlignment="1">
      <alignment horizontal="center"/>
    </xf>
    <xf numFmtId="9" fontId="6" fillId="0" borderId="7" xfId="42" applyFont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4" fontId="23" fillId="0" borderId="9" xfId="42" applyNumberFormat="1" applyFont="1" applyBorder="1" applyAlignment="1">
      <alignment horizontal="center"/>
    </xf>
    <xf numFmtId="166" fontId="23" fillId="0" borderId="0" xfId="28" applyNumberFormat="1" applyFont="1" applyBorder="1" applyAlignment="1">
      <alignment horizontal="center"/>
    </xf>
    <xf numFmtId="166" fontId="23" fillId="0" borderId="10" xfId="28" applyNumberFormat="1" applyFont="1" applyBorder="1" applyAlignment="1">
      <alignment horizontal="center"/>
    </xf>
    <xf numFmtId="164" fontId="23" fillId="0" borderId="6" xfId="42" applyNumberFormat="1" applyFont="1" applyBorder="1" applyAlignment="1">
      <alignment horizontal="center"/>
    </xf>
    <xf numFmtId="166" fontId="23" fillId="0" borderId="1" xfId="28" applyNumberFormat="1" applyFont="1" applyBorder="1" applyAlignment="1">
      <alignment horizontal="center"/>
    </xf>
    <xf numFmtId="166" fontId="23" fillId="0" borderId="7" xfId="28" applyNumberFormat="1" applyFont="1" applyBorder="1" applyAlignment="1">
      <alignment horizontal="center"/>
    </xf>
    <xf numFmtId="44" fontId="6" fillId="0" borderId="0" xfId="29" applyFont="1" applyAlignment="1">
      <alignment horizontal="right"/>
    </xf>
    <xf numFmtId="0" fontId="18" fillId="31" borderId="1" xfId="38" applyBorder="1" applyAlignment="1">
      <alignment horizontal="center"/>
    </xf>
    <xf numFmtId="44" fontId="6" fillId="0" borderId="0" xfId="29" applyFont="1" applyAlignment="1">
      <alignment horizontal="center"/>
    </xf>
    <xf numFmtId="0" fontId="18" fillId="31" borderId="0" xfId="38" applyAlignment="1"/>
    <xf numFmtId="0" fontId="24" fillId="0" borderId="0" xfId="0" applyFont="1" applyAlignment="1">
      <alignment horizontal="right"/>
    </xf>
    <xf numFmtId="0" fontId="25" fillId="33" borderId="6" xfId="0" applyFont="1" applyFill="1" applyBorder="1" applyAlignment="1">
      <alignment horizontal="center"/>
    </xf>
    <xf numFmtId="0" fontId="25" fillId="33" borderId="1" xfId="0" applyFont="1" applyFill="1" applyBorder="1" applyAlignment="1">
      <alignment horizontal="center"/>
    </xf>
    <xf numFmtId="0" fontId="0" fillId="0" borderId="0" xfId="0"/>
    <xf numFmtId="0" fontId="25" fillId="33" borderId="4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33" borderId="5" xfId="0" applyFill="1" applyBorder="1" applyAlignment="1">
      <alignment horizontal="center"/>
    </xf>
    <xf numFmtId="0" fontId="0" fillId="33" borderId="6" xfId="0" applyFill="1" applyBorder="1" applyAlignment="1">
      <alignment horizontal="center"/>
    </xf>
    <xf numFmtId="0" fontId="0" fillId="33" borderId="1" xfId="0" applyFill="1" applyBorder="1" applyAlignment="1">
      <alignment horizontal="center"/>
    </xf>
    <xf numFmtId="0" fontId="0" fillId="33" borderId="7" xfId="0" applyFill="1" applyBorder="1" applyAlignment="1">
      <alignment horizontal="center"/>
    </xf>
    <xf numFmtId="0" fontId="22" fillId="0" borderId="0" xfId="45"/>
    <xf numFmtId="0" fontId="0" fillId="0" borderId="0" xfId="0" applyFill="1" applyBorder="1" applyAlignment="1">
      <alignment horizontal="center"/>
    </xf>
    <xf numFmtId="0" fontId="21" fillId="0" borderId="1" xfId="0" applyFont="1" applyBorder="1"/>
    <xf numFmtId="0" fontId="0" fillId="0" borderId="0" xfId="0" applyFill="1" applyBorder="1" applyAlignment="1">
      <alignment horizontal="left"/>
    </xf>
    <xf numFmtId="0" fontId="0" fillId="0" borderId="4" xfId="0" applyBorder="1"/>
    <xf numFmtId="0" fontId="0" fillId="0" borderId="3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25" fillId="33" borderId="7" xfId="0" applyFont="1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166" fontId="6" fillId="0" borderId="9" xfId="28" applyNumberFormat="1" applyFont="1" applyBorder="1" applyAlignment="1">
      <alignment horizontal="center"/>
    </xf>
    <xf numFmtId="166" fontId="6" fillId="0" borderId="9" xfId="28" applyNumberFormat="1" applyFont="1" applyFill="1" applyBorder="1" applyAlignment="1">
      <alignment horizontal="center"/>
    </xf>
    <xf numFmtId="166" fontId="6" fillId="0" borderId="6" xfId="28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2" xfId="0" applyNumberFormat="1" applyBorder="1" applyAlignment="1">
      <alignment horizontal="right"/>
    </xf>
    <xf numFmtId="0" fontId="0" fillId="0" borderId="1" xfId="0" applyBorder="1"/>
    <xf numFmtId="0" fontId="0" fillId="0" borderId="0" xfId="0" quotePrefix="1"/>
    <xf numFmtId="44" fontId="0" fillId="0" borderId="0" xfId="0" applyNumberFormat="1"/>
    <xf numFmtId="1" fontId="0" fillId="0" borderId="0" xfId="0" applyNumberFormat="1"/>
    <xf numFmtId="0" fontId="18" fillId="31" borderId="0" xfId="38"/>
    <xf numFmtId="43" fontId="0" fillId="0" borderId="9" xfId="0" applyNumberFormat="1" applyBorder="1"/>
    <xf numFmtId="43" fontId="0" fillId="0" borderId="0" xfId="0" applyNumberFormat="1" applyBorder="1"/>
    <xf numFmtId="43" fontId="0" fillId="0" borderId="10" xfId="0" applyNumberFormat="1" applyBorder="1"/>
    <xf numFmtId="43" fontId="0" fillId="0" borderId="6" xfId="0" applyNumberFormat="1" applyBorder="1"/>
    <xf numFmtId="43" fontId="0" fillId="0" borderId="1" xfId="0" applyNumberFormat="1" applyBorder="1"/>
    <xf numFmtId="43" fontId="0" fillId="0" borderId="7" xfId="0" applyNumberFormat="1" applyBorder="1"/>
    <xf numFmtId="1" fontId="0" fillId="0" borderId="0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43" fontId="0" fillId="0" borderId="4" xfId="0" applyNumberFormat="1" applyBorder="1"/>
    <xf numFmtId="43" fontId="0" fillId="0" borderId="11" xfId="0" applyNumberFormat="1" applyBorder="1"/>
    <xf numFmtId="0" fontId="18" fillId="31" borderId="0" xfId="38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Border="1" applyAlignment="1">
      <alignment horizontal="left"/>
    </xf>
    <xf numFmtId="9" fontId="6" fillId="0" borderId="0" xfId="42" applyFont="1" applyAlignment="1"/>
    <xf numFmtId="0" fontId="6" fillId="32" borderId="26" xfId="40" applyFont="1"/>
    <xf numFmtId="0" fontId="0" fillId="0" borderId="0" xfId="0"/>
    <xf numFmtId="0" fontId="26" fillId="0" borderId="0" xfId="0" applyFont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21" fillId="0" borderId="2" xfId="0" applyFont="1" applyBorder="1"/>
    <xf numFmtId="0" fontId="0" fillId="0" borderId="0" xfId="0" applyFont="1" applyBorder="1"/>
    <xf numFmtId="0" fontId="0" fillId="0" borderId="2" xfId="0" applyBorder="1" applyAlignment="1">
      <alignment horizontal="left"/>
    </xf>
    <xf numFmtId="0" fontId="21" fillId="0" borderId="0" xfId="0" applyFont="1"/>
    <xf numFmtId="0" fontId="0" fillId="0" borderId="0" xfId="0"/>
    <xf numFmtId="0" fontId="21" fillId="0" borderId="0" xfId="0" applyFont="1" applyAlignment="1"/>
    <xf numFmtId="0" fontId="0" fillId="0" borderId="0" xfId="0" applyAlignment="1"/>
    <xf numFmtId="0" fontId="0" fillId="0" borderId="2" xfId="0" applyBorder="1" applyAlignment="1"/>
    <xf numFmtId="14" fontId="0" fillId="0" borderId="0" xfId="0" applyNumberFormat="1" applyAlignment="1"/>
    <xf numFmtId="0" fontId="18" fillId="31" borderId="2" xfId="38" applyBorder="1" applyAlignment="1"/>
    <xf numFmtId="0" fontId="24" fillId="0" borderId="0" xfId="0" applyFont="1" applyBorder="1"/>
    <xf numFmtId="0" fontId="21" fillId="34" borderId="13" xfId="0" applyFont="1" applyFill="1" applyBorder="1"/>
    <xf numFmtId="0" fontId="0" fillId="34" borderId="14" xfId="0" applyFill="1" applyBorder="1"/>
    <xf numFmtId="0" fontId="0" fillId="34" borderId="15" xfId="0" applyFill="1" applyBorder="1"/>
    <xf numFmtId="0" fontId="0" fillId="34" borderId="16" xfId="0" applyFill="1" applyBorder="1"/>
    <xf numFmtId="0" fontId="0" fillId="34" borderId="0" xfId="0" applyFill="1" applyBorder="1"/>
    <xf numFmtId="0" fontId="0" fillId="34" borderId="17" xfId="0" applyFill="1" applyBorder="1"/>
    <xf numFmtId="0" fontId="27" fillId="34" borderId="16" xfId="0" applyFont="1" applyFill="1" applyBorder="1"/>
    <xf numFmtId="0" fontId="28" fillId="34" borderId="16" xfId="0" applyFont="1" applyFill="1" applyBorder="1"/>
    <xf numFmtId="167" fontId="6" fillId="34" borderId="0" xfId="29" applyNumberFormat="1" applyFont="1" applyFill="1" applyBorder="1"/>
    <xf numFmtId="0" fontId="28" fillId="34" borderId="16" xfId="0" applyFont="1" applyFill="1" applyBorder="1" applyAlignment="1">
      <alignment horizontal="right"/>
    </xf>
    <xf numFmtId="0" fontId="0" fillId="34" borderId="18" xfId="0" applyFill="1" applyBorder="1"/>
    <xf numFmtId="0" fontId="0" fillId="34" borderId="2" xfId="0" applyFill="1" applyBorder="1"/>
    <xf numFmtId="0" fontId="0" fillId="34" borderId="19" xfId="0" applyFill="1" applyBorder="1"/>
    <xf numFmtId="0" fontId="26" fillId="0" borderId="0" xfId="0" applyFont="1" applyBorder="1" applyAlignment="1">
      <alignment horizontal="center"/>
    </xf>
    <xf numFmtId="0" fontId="29" fillId="0" borderId="0" xfId="0" applyFont="1"/>
    <xf numFmtId="14" fontId="30" fillId="0" borderId="0" xfId="0" applyNumberFormat="1" applyFont="1" applyAlignment="1">
      <alignment horizontal="center"/>
    </xf>
    <xf numFmtId="2" fontId="9" fillId="27" borderId="20" xfId="26" applyNumberFormat="1" applyAlignment="1">
      <alignment horizontal="center"/>
    </xf>
    <xf numFmtId="1" fontId="9" fillId="27" borderId="20" xfId="26" applyNumberFormat="1" applyAlignment="1">
      <alignment horizontal="center"/>
    </xf>
    <xf numFmtId="0" fontId="0" fillId="33" borderId="3" xfId="0" applyFill="1" applyBorder="1" applyAlignment="1">
      <alignment horizontal="center"/>
    </xf>
    <xf numFmtId="0" fontId="0" fillId="33" borderId="4" xfId="0" applyFill="1" applyBorder="1" applyAlignment="1">
      <alignment horizontal="center"/>
    </xf>
    <xf numFmtId="0" fontId="18" fillId="31" borderId="0" xfId="38" applyAlignment="1">
      <alignment horizontal="center"/>
    </xf>
    <xf numFmtId="0" fontId="0" fillId="0" borderId="0" xfId="0" applyAlignment="1">
      <alignment horizontal="center"/>
    </xf>
    <xf numFmtId="0" fontId="25" fillId="33" borderId="3" xfId="0" applyFont="1" applyFill="1" applyBorder="1" applyAlignment="1">
      <alignment horizontal="center"/>
    </xf>
    <xf numFmtId="0" fontId="25" fillId="33" borderId="11" xfId="0" applyFont="1" applyFill="1" applyBorder="1" applyAlignment="1">
      <alignment horizontal="center"/>
    </xf>
    <xf numFmtId="0" fontId="0" fillId="33" borderId="3" xfId="0" applyFill="1" applyBorder="1" applyAlignment="1">
      <alignment horizontal="center"/>
    </xf>
    <xf numFmtId="0" fontId="0" fillId="33" borderId="11" xfId="0" applyFill="1" applyBorder="1" applyAlignment="1">
      <alignment horizontal="center"/>
    </xf>
    <xf numFmtId="0" fontId="0" fillId="33" borderId="4" xfId="0" applyFill="1" applyBorder="1" applyAlignment="1">
      <alignment horizontal="center"/>
    </xf>
    <xf numFmtId="0" fontId="18" fillId="31" borderId="0" xfId="38" applyAlignment="1">
      <alignment horizontal="center"/>
    </xf>
    <xf numFmtId="0" fontId="11" fillId="0" borderId="0" xfId="30" applyAlignment="1">
      <alignment horizontal="center"/>
    </xf>
    <xf numFmtId="0" fontId="0" fillId="0" borderId="0" xfId="0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te" xfId="40" builtinId="10" customBuiltin="1"/>
    <cellStyle name="Output" xfId="41" builtinId="21" customBuiltin="1"/>
    <cellStyle name="Percent" xfId="42" builtinId="5"/>
    <cellStyle name="Title" xfId="43" builtinId="15" customBuiltin="1"/>
    <cellStyle name="Total" xfId="44" builtinId="25" customBuiltin="1"/>
    <cellStyle name="Warning Text" xfId="45" builtinId="11" customBuiltin="1"/>
  </cellStyles>
  <dxfs count="1"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76"/>
  <sheetViews>
    <sheetView tabSelected="1" workbookViewId="0">
      <selection activeCell="A3" sqref="A3"/>
    </sheetView>
  </sheetViews>
  <sheetFormatPr defaultRowHeight="15"/>
  <cols>
    <col min="2" max="2" width="21.5703125" customWidth="1"/>
    <col min="4" max="4" width="13" customWidth="1"/>
    <col min="13" max="14" width="11.5703125" bestFit="1" customWidth="1"/>
  </cols>
  <sheetData>
    <row r="2" spans="2:20" ht="18" thickBot="1">
      <c r="B2" s="6" t="s">
        <v>0</v>
      </c>
      <c r="C2" s="6"/>
      <c r="D2" s="6"/>
      <c r="E2" s="6"/>
      <c r="F2" s="6"/>
      <c r="G2" s="6"/>
      <c r="H2" s="6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2:20" ht="15.75" thickTop="1">
      <c r="B3" s="80" t="s">
        <v>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</row>
    <row r="5" spans="2:20">
      <c r="B5" s="110" t="s">
        <v>2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</row>
    <row r="6" spans="2:20">
      <c r="B6" s="110" t="s">
        <v>3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</row>
    <row r="7" spans="2:20" s="75" customFormat="1"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</row>
    <row r="8" spans="2:20">
      <c r="B8" s="59" t="s">
        <v>4</v>
      </c>
      <c r="C8" s="59" t="s">
        <v>5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110"/>
      <c r="S8" s="110"/>
      <c r="T8" s="110"/>
    </row>
    <row r="9" spans="2:20">
      <c r="B9" s="61" t="s">
        <v>6</v>
      </c>
      <c r="C9" s="62" t="s">
        <v>7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3"/>
      <c r="R9" s="110"/>
      <c r="S9" s="110"/>
      <c r="T9" s="110"/>
    </row>
    <row r="10" spans="2:20">
      <c r="B10" s="103"/>
      <c r="C10" s="105" t="s">
        <v>8</v>
      </c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4"/>
      <c r="R10" s="110"/>
      <c r="S10" s="110"/>
      <c r="T10" s="110"/>
    </row>
    <row r="11" spans="2:20">
      <c r="B11" s="103"/>
      <c r="C11" s="102" t="s">
        <v>9</v>
      </c>
      <c r="D11" s="60" t="s">
        <v>10</v>
      </c>
      <c r="E11" s="105" t="s">
        <v>11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4"/>
      <c r="R11" s="110"/>
      <c r="S11" s="110"/>
      <c r="T11" s="110"/>
    </row>
    <row r="12" spans="2:20">
      <c r="B12" s="103"/>
      <c r="C12" s="102" t="s">
        <v>9</v>
      </c>
      <c r="D12" s="60" t="s">
        <v>12</v>
      </c>
      <c r="E12" s="105" t="s">
        <v>13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4"/>
      <c r="R12" s="110"/>
      <c r="S12" s="110"/>
      <c r="T12" s="110"/>
    </row>
    <row r="13" spans="2:20">
      <c r="B13" s="103"/>
      <c r="C13" s="102" t="s">
        <v>9</v>
      </c>
      <c r="D13" s="60" t="s">
        <v>14</v>
      </c>
      <c r="E13" s="105" t="s">
        <v>15</v>
      </c>
      <c r="F13" s="105"/>
      <c r="G13" s="105"/>
      <c r="H13" s="105"/>
      <c r="I13" s="105"/>
      <c r="J13" s="105"/>
      <c r="K13" s="105"/>
      <c r="L13" s="105"/>
      <c r="M13" s="116"/>
      <c r="N13" s="105"/>
      <c r="O13" s="105"/>
      <c r="P13" s="105"/>
      <c r="Q13" s="104"/>
      <c r="R13" s="110"/>
      <c r="S13" s="110"/>
      <c r="T13" s="110"/>
    </row>
    <row r="14" spans="2:20">
      <c r="B14" s="103"/>
      <c r="C14" s="102" t="s">
        <v>9</v>
      </c>
      <c r="D14" s="60" t="s">
        <v>16</v>
      </c>
      <c r="E14" s="105" t="s">
        <v>17</v>
      </c>
      <c r="F14" s="105"/>
      <c r="G14" s="105"/>
      <c r="H14" s="105"/>
      <c r="I14" s="105"/>
      <c r="J14" s="105"/>
      <c r="K14" s="105"/>
      <c r="L14" s="105"/>
      <c r="M14" s="116"/>
      <c r="N14" s="105"/>
      <c r="O14" s="105"/>
      <c r="P14" s="105"/>
      <c r="Q14" s="104"/>
      <c r="R14" s="110"/>
      <c r="S14" s="110"/>
      <c r="T14" s="110"/>
    </row>
    <row r="15" spans="2:20" s="49" customFormat="1">
      <c r="B15" s="103"/>
      <c r="C15" s="102" t="s">
        <v>9</v>
      </c>
      <c r="D15" s="60" t="s">
        <v>18</v>
      </c>
      <c r="E15" s="105" t="s">
        <v>19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4"/>
      <c r="R15" s="110"/>
      <c r="S15" s="110"/>
      <c r="T15" s="110"/>
    </row>
    <row r="16" spans="2:20" s="75" customFormat="1">
      <c r="B16" s="103"/>
      <c r="C16" s="102" t="s">
        <v>9</v>
      </c>
      <c r="D16" s="98" t="s">
        <v>20</v>
      </c>
      <c r="E16" s="105" t="s">
        <v>21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4"/>
      <c r="R16" s="110"/>
      <c r="S16" s="110"/>
      <c r="T16" s="110"/>
    </row>
    <row r="17" spans="2:20" s="75" customFormat="1">
      <c r="B17" s="103"/>
      <c r="C17" s="102" t="s">
        <v>9</v>
      </c>
      <c r="D17" s="98" t="s">
        <v>22</v>
      </c>
      <c r="E17" s="105" t="s">
        <v>23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4"/>
      <c r="R17" s="110"/>
      <c r="S17" s="110"/>
      <c r="T17" s="110"/>
    </row>
    <row r="18" spans="2:20" s="75" customFormat="1">
      <c r="B18" s="103"/>
      <c r="C18" s="102" t="s">
        <v>9</v>
      </c>
      <c r="D18" s="98" t="s">
        <v>24</v>
      </c>
      <c r="E18" s="105" t="s">
        <v>25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4"/>
      <c r="R18" s="110"/>
      <c r="S18" s="110"/>
      <c r="T18" s="110"/>
    </row>
    <row r="19" spans="2:20" s="75" customFormat="1">
      <c r="B19" s="103"/>
      <c r="C19" s="102" t="s">
        <v>9</v>
      </c>
      <c r="D19" s="98" t="s">
        <v>26</v>
      </c>
      <c r="E19" s="105" t="s">
        <v>27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4"/>
      <c r="R19" s="110"/>
      <c r="S19" s="110"/>
      <c r="T19" s="110"/>
    </row>
    <row r="20" spans="2:20" s="75" customFormat="1">
      <c r="B20" s="103"/>
      <c r="C20" s="102"/>
      <c r="D20" s="76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4"/>
      <c r="R20" s="110"/>
      <c r="S20" s="110"/>
      <c r="T20" s="110"/>
    </row>
    <row r="21" spans="2:20">
      <c r="B21" s="103"/>
      <c r="C21" s="105" t="s">
        <v>28</v>
      </c>
      <c r="D21" s="58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4"/>
      <c r="R21" s="110"/>
      <c r="S21" s="110"/>
      <c r="T21" s="110"/>
    </row>
    <row r="22" spans="2:20">
      <c r="B22" s="103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4"/>
      <c r="R22" s="110"/>
      <c r="S22" s="110"/>
      <c r="T22" s="110"/>
    </row>
    <row r="23" spans="2:20">
      <c r="B23" s="103" t="s">
        <v>29</v>
      </c>
      <c r="C23" s="105" t="s">
        <v>30</v>
      </c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4"/>
      <c r="R23" s="110"/>
      <c r="S23" s="110"/>
      <c r="T23" s="110"/>
    </row>
    <row r="24" spans="2:20">
      <c r="B24" s="103" t="s">
        <v>31</v>
      </c>
      <c r="C24" s="105" t="s">
        <v>32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4"/>
      <c r="R24" s="110"/>
      <c r="S24" s="110"/>
      <c r="T24" s="110"/>
    </row>
    <row r="25" spans="2:20">
      <c r="B25" s="103" t="s">
        <v>33</v>
      </c>
      <c r="C25" s="102" t="s">
        <v>9</v>
      </c>
      <c r="D25" s="105" t="s">
        <v>34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4"/>
      <c r="R25" s="110"/>
      <c r="S25" s="110"/>
      <c r="T25" s="110"/>
    </row>
    <row r="26" spans="2:20">
      <c r="B26" s="103"/>
      <c r="C26" s="102" t="s">
        <v>9</v>
      </c>
      <c r="D26" s="105" t="s">
        <v>35</v>
      </c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4"/>
      <c r="R26" s="110"/>
      <c r="S26" s="110"/>
      <c r="T26" s="110"/>
    </row>
    <row r="27" spans="2:20">
      <c r="B27" s="103"/>
      <c r="C27" s="102"/>
      <c r="D27" s="105" t="s">
        <v>36</v>
      </c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4"/>
      <c r="R27" s="110"/>
      <c r="S27" s="110"/>
      <c r="T27" s="110"/>
    </row>
    <row r="28" spans="2:20" s="101" customFormat="1">
      <c r="B28" s="103"/>
      <c r="C28" s="102" t="s">
        <v>9</v>
      </c>
      <c r="D28" s="105" t="s">
        <v>37</v>
      </c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4"/>
      <c r="R28" s="110"/>
      <c r="S28" s="110"/>
      <c r="T28" s="110"/>
    </row>
    <row r="29" spans="2:20">
      <c r="B29" s="103"/>
      <c r="C29" s="102" t="s">
        <v>9</v>
      </c>
      <c r="D29" s="105" t="s">
        <v>38</v>
      </c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4"/>
      <c r="R29" s="110"/>
      <c r="S29" s="110"/>
      <c r="T29" s="110"/>
    </row>
    <row r="30" spans="2:20">
      <c r="B30" s="103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4"/>
      <c r="R30" s="110"/>
      <c r="S30" s="110"/>
      <c r="T30" s="110"/>
    </row>
    <row r="31" spans="2:20">
      <c r="B31" s="103" t="s">
        <v>39</v>
      </c>
      <c r="C31" s="105" t="s">
        <v>40</v>
      </c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4"/>
      <c r="R31" s="110"/>
      <c r="S31" s="110"/>
      <c r="T31" s="110"/>
    </row>
    <row r="32" spans="2:20">
      <c r="B32" s="103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4"/>
      <c r="R32" s="110"/>
      <c r="S32" s="110"/>
      <c r="T32" s="110"/>
    </row>
    <row r="33" spans="2:23">
      <c r="B33" s="64" t="s">
        <v>41</v>
      </c>
      <c r="C33" s="79" t="s">
        <v>42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65"/>
      <c r="R33" s="110"/>
      <c r="S33" s="110"/>
      <c r="T33" s="110"/>
      <c r="U33" s="110"/>
      <c r="V33" s="110"/>
      <c r="W33" s="110"/>
    </row>
    <row r="34" spans="2:23" ht="15.75" thickBot="1">
      <c r="B34" s="110"/>
      <c r="C34" s="57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</row>
    <row r="35" spans="2:23">
      <c r="B35" s="117" t="s">
        <v>43</v>
      </c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9"/>
      <c r="R35" s="110"/>
      <c r="S35" s="110"/>
      <c r="T35" s="110"/>
      <c r="U35" s="110"/>
      <c r="V35" s="110"/>
      <c r="W35" s="110"/>
    </row>
    <row r="36" spans="2:23">
      <c r="B36" s="120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2"/>
      <c r="R36" s="110"/>
      <c r="S36" s="110"/>
      <c r="T36" s="110"/>
      <c r="U36" s="110"/>
      <c r="V36" s="110"/>
      <c r="W36" s="110"/>
    </row>
    <row r="37" spans="2:23">
      <c r="B37" s="120" t="s">
        <v>44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2"/>
      <c r="R37" s="110"/>
      <c r="S37" s="110"/>
      <c r="T37" s="110"/>
      <c r="U37" s="110"/>
      <c r="V37" s="110"/>
      <c r="W37" s="110"/>
    </row>
    <row r="38" spans="2:23">
      <c r="B38" s="123" t="s">
        <v>45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2"/>
      <c r="R38" s="110"/>
      <c r="S38" s="110"/>
      <c r="T38" s="110"/>
      <c r="U38" s="110"/>
      <c r="V38" s="110"/>
      <c r="W38" s="110"/>
    </row>
    <row r="39" spans="2:23">
      <c r="B39" s="120" t="s">
        <v>46</v>
      </c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2"/>
      <c r="R39" s="110"/>
      <c r="S39" s="110"/>
      <c r="T39" s="110"/>
      <c r="U39" s="110"/>
      <c r="V39" s="110"/>
      <c r="W39" s="110"/>
    </row>
    <row r="40" spans="2:23">
      <c r="B40" s="120" t="s">
        <v>47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10"/>
      <c r="S40" s="110"/>
      <c r="T40" s="110"/>
      <c r="U40" s="110"/>
      <c r="V40" s="110"/>
      <c r="W40" s="110"/>
    </row>
    <row r="41" spans="2:23">
      <c r="B41" s="124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2"/>
      <c r="R41" s="110"/>
      <c r="S41" s="110"/>
      <c r="T41" s="110"/>
      <c r="U41" s="110"/>
      <c r="V41" s="110"/>
      <c r="W41" s="110"/>
    </row>
    <row r="42" spans="2:23">
      <c r="B42" s="120" t="s">
        <v>48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2"/>
      <c r="R42" s="110"/>
      <c r="S42" s="110"/>
      <c r="T42" s="110"/>
      <c r="U42" s="110"/>
      <c r="V42" s="110"/>
      <c r="W42" s="110"/>
    </row>
    <row r="43" spans="2:23">
      <c r="B43" s="120" t="s">
        <v>49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10"/>
      <c r="S43" s="110"/>
      <c r="T43" s="110"/>
      <c r="U43" s="110"/>
      <c r="V43" s="110"/>
      <c r="W43" s="110"/>
    </row>
    <row r="44" spans="2:23">
      <c r="B44" s="120" t="s">
        <v>50</v>
      </c>
      <c r="C44" s="121" t="s">
        <v>51</v>
      </c>
      <c r="D44" s="121" t="s">
        <v>52</v>
      </c>
      <c r="E44" s="121"/>
      <c r="F44" s="121"/>
      <c r="G44" s="121"/>
      <c r="H44" s="121"/>
      <c r="I44" s="121" t="s">
        <v>53</v>
      </c>
      <c r="J44" s="121"/>
      <c r="K44" s="121"/>
      <c r="L44" s="121"/>
      <c r="M44" s="121"/>
      <c r="N44" s="125">
        <f>(4439.26 + 1150.27 * 12)/12</f>
        <v>1520.2083333333333</v>
      </c>
      <c r="O44" s="121" t="s">
        <v>54</v>
      </c>
      <c r="P44" s="121"/>
      <c r="Q44" s="122"/>
      <c r="R44" s="110"/>
      <c r="S44" s="110"/>
      <c r="T44" s="110"/>
      <c r="U44" s="110"/>
      <c r="V44" s="110"/>
      <c r="W44" s="110"/>
    </row>
    <row r="45" spans="2:23">
      <c r="B45" s="120"/>
      <c r="C45" s="121" t="s">
        <v>55</v>
      </c>
      <c r="D45" s="121" t="s">
        <v>56</v>
      </c>
      <c r="E45" s="121"/>
      <c r="F45" s="121"/>
      <c r="G45" s="121"/>
      <c r="H45" s="121"/>
      <c r="I45" s="121" t="s">
        <v>57</v>
      </c>
      <c r="J45" s="121"/>
      <c r="K45" s="121"/>
      <c r="L45" s="121"/>
      <c r="M45" s="121"/>
      <c r="N45" s="125">
        <f>(4439.26 + 1150.27 * 14)/14</f>
        <v>1467.3600000000001</v>
      </c>
      <c r="O45" s="121" t="s">
        <v>54</v>
      </c>
      <c r="P45" s="121"/>
      <c r="Q45" s="122"/>
      <c r="R45" s="110"/>
      <c r="S45" s="110"/>
      <c r="T45" s="110"/>
      <c r="U45" s="110"/>
      <c r="V45" s="110"/>
      <c r="W45" s="110"/>
    </row>
    <row r="46" spans="2:23" s="110" customFormat="1">
      <c r="B46" s="120"/>
      <c r="C46" s="121" t="s">
        <v>58</v>
      </c>
      <c r="D46" s="121" t="s">
        <v>59</v>
      </c>
      <c r="E46" s="121"/>
      <c r="F46" s="121"/>
      <c r="G46" s="121"/>
      <c r="H46" s="121"/>
      <c r="I46" s="121" t="s">
        <v>60</v>
      </c>
      <c r="J46" s="121"/>
      <c r="K46" s="121"/>
      <c r="L46" s="121"/>
      <c r="M46" s="121"/>
      <c r="N46" s="125">
        <f>(4439.26 + 1150.27 * 20)/20</f>
        <v>1372.2330000000002</v>
      </c>
      <c r="O46" s="121" t="s">
        <v>54</v>
      </c>
      <c r="P46" s="121"/>
      <c r="Q46" s="122"/>
    </row>
    <row r="47" spans="2:23"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2"/>
      <c r="R47" s="110"/>
      <c r="S47" s="110"/>
      <c r="T47" s="110"/>
      <c r="U47" s="110"/>
      <c r="V47" s="110"/>
      <c r="W47" s="110"/>
    </row>
    <row r="48" spans="2:23">
      <c r="B48" s="120" t="s">
        <v>61</v>
      </c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2"/>
      <c r="R48" s="110"/>
      <c r="S48" s="110"/>
      <c r="T48" s="110"/>
      <c r="U48" s="110"/>
      <c r="V48" s="110"/>
      <c r="W48" s="110"/>
    </row>
    <row r="49" spans="2:17">
      <c r="B49" s="120" t="s">
        <v>62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</row>
    <row r="50" spans="2:17">
      <c r="B50" s="120" t="s">
        <v>63</v>
      </c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2"/>
    </row>
    <row r="51" spans="2:17">
      <c r="B51" s="120" t="s">
        <v>64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2"/>
    </row>
    <row r="52" spans="2:17">
      <c r="B52" s="120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2"/>
    </row>
    <row r="53" spans="2:17">
      <c r="B53" s="120" t="s">
        <v>65</v>
      </c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2"/>
    </row>
    <row r="54" spans="2:17">
      <c r="B54" s="120" t="s">
        <v>66</v>
      </c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2"/>
    </row>
    <row r="55" spans="2:17">
      <c r="B55" s="120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2"/>
    </row>
    <row r="56" spans="2:17">
      <c r="B56" s="120" t="s">
        <v>67</v>
      </c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2"/>
    </row>
    <row r="57" spans="2:17">
      <c r="B57" s="126" t="s">
        <v>68</v>
      </c>
      <c r="C57" s="121" t="s">
        <v>69</v>
      </c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2"/>
    </row>
    <row r="58" spans="2:17">
      <c r="B58" s="126" t="s">
        <v>70</v>
      </c>
      <c r="C58" s="121" t="s">
        <v>71</v>
      </c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2"/>
    </row>
    <row r="59" spans="2:17">
      <c r="B59" s="126" t="s">
        <v>72</v>
      </c>
      <c r="C59" s="121" t="s">
        <v>73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2"/>
    </row>
    <row r="60" spans="2:17">
      <c r="B60" s="126" t="s">
        <v>74</v>
      </c>
      <c r="C60" s="121" t="s">
        <v>75</v>
      </c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2"/>
    </row>
    <row r="61" spans="2:17">
      <c r="B61" s="120" t="s">
        <v>76</v>
      </c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2"/>
    </row>
    <row r="62" spans="2:17" s="110" customFormat="1">
      <c r="B62" s="120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2"/>
    </row>
    <row r="63" spans="2:17" s="110" customFormat="1">
      <c r="B63" s="120" t="s">
        <v>77</v>
      </c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2"/>
    </row>
    <row r="64" spans="2:17" s="110" customFormat="1">
      <c r="B64" s="120" t="s">
        <v>78</v>
      </c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2"/>
    </row>
    <row r="65" spans="2:17" s="110" customFormat="1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2"/>
    </row>
    <row r="66" spans="2:17">
      <c r="B66" s="120" t="s">
        <v>79</v>
      </c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2"/>
    </row>
    <row r="67" spans="2:17">
      <c r="B67" s="120" t="s">
        <v>80</v>
      </c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2"/>
    </row>
    <row r="68" spans="2:17">
      <c r="B68" s="120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2"/>
    </row>
    <row r="69" spans="2:17">
      <c r="B69" s="120" t="s">
        <v>81</v>
      </c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2"/>
    </row>
    <row r="70" spans="2:17" ht="15.75" thickBot="1">
      <c r="B70" s="127" t="s">
        <v>82</v>
      </c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9"/>
    </row>
    <row r="73" spans="2:17">
      <c r="B73" s="131" t="s">
        <v>83</v>
      </c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2:17">
      <c r="B74" s="132">
        <v>42229</v>
      </c>
      <c r="C74" s="130" t="s">
        <v>9</v>
      </c>
      <c r="D74" s="110" t="s">
        <v>84</v>
      </c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</row>
    <row r="75" spans="2:17">
      <c r="B75" s="110"/>
      <c r="C75" s="130"/>
      <c r="D75" s="110" t="s">
        <v>85</v>
      </c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</row>
    <row r="76" spans="2:17">
      <c r="B76" s="110"/>
      <c r="C76" s="130" t="s">
        <v>9</v>
      </c>
      <c r="D76" s="110" t="s">
        <v>86</v>
      </c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21"/>
  <sheetViews>
    <sheetView workbookViewId="0">
      <selection activeCell="N31" sqref="N31"/>
    </sheetView>
  </sheetViews>
  <sheetFormatPr defaultRowHeight="15"/>
  <cols>
    <col min="3" max="3" width="15.28515625" customWidth="1"/>
    <col min="6" max="6" width="9.140625" style="11"/>
    <col min="7" max="7" width="11.5703125" bestFit="1" customWidth="1"/>
    <col min="13" max="13" width="10.28515625" bestFit="1" customWidth="1"/>
    <col min="14" max="14" width="10.28515625" style="11" customWidth="1"/>
    <col min="15" max="15" width="8.42578125" style="11" bestFit="1" customWidth="1"/>
    <col min="16" max="16" width="10.5703125" bestFit="1" customWidth="1"/>
    <col min="17" max="20" width="11.85546875" customWidth="1"/>
    <col min="21" max="21" width="11.5703125" bestFit="1" customWidth="1"/>
  </cols>
  <sheetData>
    <row r="1" spans="2:27"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</row>
    <row r="2" spans="2:27">
      <c r="B2" s="109" t="s">
        <v>87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</row>
    <row r="3" spans="2:27">
      <c r="B3" s="3" t="s">
        <v>88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2:27">
      <c r="B4" s="109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</row>
    <row r="5" spans="2:27">
      <c r="B5" s="109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</row>
    <row r="6" spans="2:27">
      <c r="B6" s="109" t="s">
        <v>89</v>
      </c>
      <c r="C6" s="110"/>
      <c r="D6" s="110"/>
      <c r="E6" s="7" t="s">
        <v>90</v>
      </c>
      <c r="F6" s="7"/>
      <c r="G6" s="138" t="s">
        <v>91</v>
      </c>
      <c r="H6" s="138"/>
      <c r="I6" s="138"/>
      <c r="J6" s="138" t="s">
        <v>91</v>
      </c>
      <c r="K6" s="110"/>
      <c r="L6" s="110"/>
      <c r="M6" s="138" t="s">
        <v>91</v>
      </c>
      <c r="N6" s="110"/>
      <c r="O6" s="110"/>
      <c r="P6" s="110"/>
      <c r="Q6" s="110"/>
      <c r="R6" s="110" t="s">
        <v>92</v>
      </c>
      <c r="S6" s="110"/>
      <c r="T6" s="110"/>
      <c r="U6" s="110"/>
      <c r="V6" s="110"/>
      <c r="W6" s="110"/>
      <c r="X6" s="110"/>
      <c r="Y6" s="110"/>
      <c r="Z6" s="110"/>
      <c r="AA6" s="110"/>
    </row>
    <row r="7" spans="2:27">
      <c r="B7" s="110"/>
      <c r="C7" s="110"/>
      <c r="D7" s="143" t="s">
        <v>93</v>
      </c>
      <c r="E7" s="142"/>
      <c r="F7" s="135" t="s">
        <v>94</v>
      </c>
      <c r="G7" s="136"/>
      <c r="H7" s="141" t="s">
        <v>95</v>
      </c>
      <c r="I7" s="142"/>
      <c r="J7" s="136" t="s">
        <v>96</v>
      </c>
      <c r="K7" s="141" t="s">
        <v>97</v>
      </c>
      <c r="L7" s="142"/>
      <c r="M7" s="53" t="s">
        <v>98</v>
      </c>
      <c r="N7" s="50" t="s">
        <v>96</v>
      </c>
      <c r="O7" s="139" t="s">
        <v>97</v>
      </c>
      <c r="P7" s="140"/>
      <c r="Q7" s="110"/>
      <c r="R7" s="143" t="s">
        <v>99</v>
      </c>
      <c r="S7" s="142"/>
      <c r="T7" s="141" t="s">
        <v>100</v>
      </c>
      <c r="U7" s="142"/>
      <c r="V7" s="110"/>
      <c r="W7" s="110"/>
      <c r="X7" s="110"/>
      <c r="Y7" s="110"/>
      <c r="Z7" s="110"/>
      <c r="AA7" s="110"/>
    </row>
    <row r="8" spans="2:27">
      <c r="B8" s="136" t="s">
        <v>101</v>
      </c>
      <c r="C8" s="135" t="s">
        <v>102</v>
      </c>
      <c r="D8" s="54" t="s">
        <v>103</v>
      </c>
      <c r="E8" s="56" t="s">
        <v>104</v>
      </c>
      <c r="F8" s="55" t="s">
        <v>105</v>
      </c>
      <c r="G8" s="54" t="s">
        <v>106</v>
      </c>
      <c r="H8" s="55" t="s">
        <v>107</v>
      </c>
      <c r="I8" s="56" t="s">
        <v>108</v>
      </c>
      <c r="J8" s="54" t="s">
        <v>109</v>
      </c>
      <c r="K8" s="55" t="s">
        <v>107</v>
      </c>
      <c r="L8" s="56" t="s">
        <v>108</v>
      </c>
      <c r="M8" s="5" t="s">
        <v>110</v>
      </c>
      <c r="N8" s="47" t="s">
        <v>111</v>
      </c>
      <c r="O8" s="48" t="s">
        <v>107</v>
      </c>
      <c r="P8" s="66" t="s">
        <v>108</v>
      </c>
      <c r="Q8" s="110"/>
      <c r="R8" s="54" t="s">
        <v>112</v>
      </c>
      <c r="S8" s="56" t="s">
        <v>113</v>
      </c>
      <c r="T8" s="55" t="s">
        <v>112</v>
      </c>
      <c r="U8" s="56" t="s">
        <v>113</v>
      </c>
      <c r="V8" s="110"/>
      <c r="W8" s="110"/>
      <c r="X8" s="110"/>
      <c r="Y8" s="110"/>
      <c r="Z8" s="110"/>
      <c r="AA8" s="110"/>
    </row>
    <row r="9" spans="2:27">
      <c r="B9" s="13" t="s">
        <v>114</v>
      </c>
      <c r="C9" s="16" t="s">
        <v>10</v>
      </c>
      <c r="D9" s="20">
        <v>-6472.0860000000002</v>
      </c>
      <c r="E9" s="21">
        <v>533.053</v>
      </c>
      <c r="F9" s="22" t="s">
        <v>115</v>
      </c>
      <c r="G9" s="20">
        <v>456.91</v>
      </c>
      <c r="H9" s="22">
        <v>13</v>
      </c>
      <c r="I9" s="21">
        <v>16</v>
      </c>
      <c r="J9" s="20">
        <f>+N9*12000</f>
        <v>495.46800000000002</v>
      </c>
      <c r="K9" s="22">
        <f t="shared" ref="K9:L13" si="0">+O9/12000</f>
        <v>1.45</v>
      </c>
      <c r="L9" s="21">
        <f t="shared" si="0"/>
        <v>4.916666666666667</v>
      </c>
      <c r="M9" s="32">
        <v>0.2</v>
      </c>
      <c r="N9" s="36">
        <v>4.1288999999999999E-2</v>
      </c>
      <c r="O9" s="37">
        <v>17400</v>
      </c>
      <c r="P9" s="38">
        <v>59000</v>
      </c>
      <c r="Q9" s="110"/>
      <c r="R9" s="94">
        <f>(D9+E9+G9*H9+K9*J9)/K9</f>
        <v>496.01765517241347</v>
      </c>
      <c r="S9" s="95">
        <f>(D9+E9+G9*I9+K9*J9)/K9</f>
        <v>1441.3486896551726</v>
      </c>
      <c r="T9" s="85">
        <f>(D9+E9+G9*H9+L9*J9)/L9</f>
        <v>495.6301016949152</v>
      </c>
      <c r="U9" s="86">
        <f>(D9+E9+G9*I9+L9*J9)/L9</f>
        <v>774.42264406779668</v>
      </c>
      <c r="V9" s="110"/>
      <c r="W9" s="110"/>
      <c r="X9" s="110"/>
      <c r="Y9" s="110"/>
      <c r="Z9" s="110"/>
      <c r="AA9" s="110"/>
    </row>
    <row r="10" spans="2:27">
      <c r="B10" s="14" t="s">
        <v>114</v>
      </c>
      <c r="C10" s="76" t="s">
        <v>12</v>
      </c>
      <c r="D10" s="20">
        <v>-2762.95</v>
      </c>
      <c r="E10" s="21">
        <v>-2.081</v>
      </c>
      <c r="F10" s="22" t="s">
        <v>115</v>
      </c>
      <c r="G10" s="20">
        <v>230.32</v>
      </c>
      <c r="H10" s="30">
        <v>13</v>
      </c>
      <c r="I10" s="21">
        <v>21</v>
      </c>
      <c r="J10" s="20">
        <f>+N10*12000</f>
        <v>276.012</v>
      </c>
      <c r="K10" s="22">
        <f t="shared" si="0"/>
        <v>1.4166666666666667</v>
      </c>
      <c r="L10" s="21">
        <f t="shared" si="0"/>
        <v>4.833333333333333</v>
      </c>
      <c r="M10" s="32">
        <v>0.2</v>
      </c>
      <c r="N10" s="36">
        <v>2.3001000000000001E-2</v>
      </c>
      <c r="O10" s="37">
        <v>17000</v>
      </c>
      <c r="P10" s="38">
        <v>58000</v>
      </c>
      <c r="Q10" s="110"/>
      <c r="R10" s="84">
        <f>(D10+E10+G10*H10+K10*J10)/K10</f>
        <v>437.75011764705874</v>
      </c>
      <c r="S10" s="86">
        <f>(D10+E10+G10*I10+K10*J10)/K10</f>
        <v>1738.3807058823529</v>
      </c>
      <c r="T10" s="85">
        <f>(D10+E10+G10*H10+L10*J10)/L10</f>
        <v>323.41800000000001</v>
      </c>
      <c r="U10" s="86">
        <f>(D10+E10+G10*I10+L10*J10)/L10</f>
        <v>704.63731034482771</v>
      </c>
      <c r="V10" s="110"/>
      <c r="W10" s="110"/>
      <c r="X10" s="110"/>
      <c r="Y10" s="110"/>
      <c r="Z10" s="110"/>
      <c r="AA10" s="110"/>
    </row>
    <row r="11" spans="2:27">
      <c r="B11" s="14" t="s">
        <v>116</v>
      </c>
      <c r="C11" s="76" t="s">
        <v>14</v>
      </c>
      <c r="D11" s="20">
        <v>-2295.3947429999998</v>
      </c>
      <c r="E11" s="21">
        <v>-12.128</v>
      </c>
      <c r="F11" s="22" t="s">
        <v>115</v>
      </c>
      <c r="G11" s="20">
        <v>289.41000000000003</v>
      </c>
      <c r="H11" s="30">
        <v>12</v>
      </c>
      <c r="I11" s="21">
        <v>14</v>
      </c>
      <c r="J11" s="20">
        <f>+N11*12000</f>
        <v>310.44</v>
      </c>
      <c r="K11" s="22">
        <f t="shared" si="0"/>
        <v>2</v>
      </c>
      <c r="L11" s="21">
        <f t="shared" si="0"/>
        <v>5</v>
      </c>
      <c r="M11" s="32">
        <v>0.25</v>
      </c>
      <c r="N11" s="36">
        <v>2.5870000000000001E-2</v>
      </c>
      <c r="O11" s="37">
        <v>24000</v>
      </c>
      <c r="P11" s="38">
        <v>60000</v>
      </c>
      <c r="Q11" s="110"/>
      <c r="R11" s="84">
        <f>(D11+E11+G11*H11+K11*J11)/K11</f>
        <v>893.1386285000001</v>
      </c>
      <c r="S11" s="86">
        <f>(D11+E11+G11*I11+K11*J11)/K11</f>
        <v>1182.5486285000002</v>
      </c>
      <c r="T11" s="85">
        <f>(D11+E11+G11*H11+L11*J11)/L11</f>
        <v>543.51945140000009</v>
      </c>
      <c r="U11" s="86">
        <f>(D11+E11+G11*I11+L11*J11)/L11</f>
        <v>659.28345139999999</v>
      </c>
      <c r="V11" s="110"/>
      <c r="W11" s="110"/>
      <c r="X11" s="110"/>
      <c r="Y11" s="110"/>
      <c r="Z11" s="110"/>
      <c r="AA11" s="110"/>
    </row>
    <row r="12" spans="2:27">
      <c r="B12" s="14" t="s">
        <v>116</v>
      </c>
      <c r="C12" s="76" t="s">
        <v>16</v>
      </c>
      <c r="D12" s="20">
        <v>-26554.806430000001</v>
      </c>
      <c r="E12" s="21">
        <v>1351.3610000000001</v>
      </c>
      <c r="F12" s="22" t="s">
        <v>117</v>
      </c>
      <c r="G12" s="31">
        <v>2312.2260000000001</v>
      </c>
      <c r="H12" s="22">
        <v>9.5</v>
      </c>
      <c r="I12" s="22">
        <v>13</v>
      </c>
      <c r="J12" s="20">
        <f>+N12*12000</f>
        <v>958.56000000000006</v>
      </c>
      <c r="K12" s="22">
        <f t="shared" si="0"/>
        <v>6.916666666666667</v>
      </c>
      <c r="L12" s="21">
        <f t="shared" si="0"/>
        <v>105.86833333333334</v>
      </c>
      <c r="M12" s="32">
        <v>0.2</v>
      </c>
      <c r="N12" s="36">
        <v>7.9880000000000007E-2</v>
      </c>
      <c r="O12" s="37">
        <v>83000</v>
      </c>
      <c r="P12" s="38">
        <v>1270420</v>
      </c>
      <c r="Q12" s="110"/>
      <c r="R12" s="87">
        <f>(D12+E12+G12*H12+K12*J12)/K12</f>
        <v>490.51685349397616</v>
      </c>
      <c r="S12" s="89">
        <f>(D12+E12+G12*I12+K12*J12)/K12</f>
        <v>1660.558925783133</v>
      </c>
      <c r="T12" s="88">
        <f>(D12+E12+G12*H12+L12*J12)/L12</f>
        <v>927.98146600336918</v>
      </c>
      <c r="U12" s="89">
        <f>(D12+E12+G12*I12+L12*J12)/L12</f>
        <v>1004.4235024952379</v>
      </c>
      <c r="V12" s="110"/>
      <c r="W12" s="110"/>
      <c r="X12" s="110"/>
      <c r="Y12" s="110"/>
      <c r="Z12" s="110"/>
      <c r="AA12" s="110"/>
    </row>
    <row r="13" spans="2:27">
      <c r="B13" s="15" t="s">
        <v>118</v>
      </c>
      <c r="C13" s="8" t="s">
        <v>18</v>
      </c>
      <c r="D13" s="24">
        <v>-2912.9920000000002</v>
      </c>
      <c r="E13" s="25">
        <v>175.61099999999999</v>
      </c>
      <c r="F13" s="26" t="s">
        <v>115</v>
      </c>
      <c r="G13" s="27">
        <v>354.91</v>
      </c>
      <c r="H13" s="28">
        <v>13</v>
      </c>
      <c r="I13" s="29">
        <v>15</v>
      </c>
      <c r="J13" s="24">
        <f>+N13*12000</f>
        <v>298.71600000000001</v>
      </c>
      <c r="K13" s="26">
        <f t="shared" si="0"/>
        <v>2</v>
      </c>
      <c r="L13" s="25">
        <f t="shared" si="0"/>
        <v>5</v>
      </c>
      <c r="M13" s="33">
        <v>0.2</v>
      </c>
      <c r="N13" s="39">
        <v>2.4892999999999998E-2</v>
      </c>
      <c r="O13" s="40">
        <v>24000</v>
      </c>
      <c r="P13" s="41">
        <v>60000</v>
      </c>
      <c r="Q13" s="110"/>
      <c r="R13" s="87">
        <f>(D13+E13+G13*H13+K13*J13)/K13</f>
        <v>1236.9404999999997</v>
      </c>
      <c r="S13" s="89">
        <f>(D13+E13+G13*I13+K13*J13)/K13</f>
        <v>1591.8505</v>
      </c>
      <c r="T13" s="88">
        <f>(D13+E13+G13*H13+L13*J13)/L13</f>
        <v>674.00579999999991</v>
      </c>
      <c r="U13" s="89">
        <f>(D13+E13+G13*I13+L13*J13)/L13</f>
        <v>815.96980000000008</v>
      </c>
      <c r="V13" s="110"/>
      <c r="W13" s="110"/>
      <c r="X13" s="110"/>
      <c r="Y13" s="110"/>
      <c r="Z13" s="110"/>
      <c r="AA13" s="110"/>
    </row>
    <row r="15" spans="2:27" s="49" customFormat="1">
      <c r="B15" s="109" t="s">
        <v>119</v>
      </c>
      <c r="C15" s="110"/>
      <c r="D15" s="110"/>
      <c r="E15" s="110"/>
      <c r="F15" s="110"/>
      <c r="G15" s="138"/>
      <c r="H15" s="138"/>
      <c r="I15" s="138"/>
      <c r="J15" s="138"/>
      <c r="K15" s="110"/>
      <c r="L15" s="110"/>
      <c r="M15" s="138"/>
      <c r="N15" s="110"/>
      <c r="O15" s="110"/>
      <c r="P15" s="110"/>
      <c r="Q15" s="110"/>
      <c r="R15" s="110" t="s">
        <v>92</v>
      </c>
      <c r="S15" s="110"/>
      <c r="T15" s="110"/>
      <c r="U15" s="110"/>
      <c r="V15" s="110"/>
      <c r="W15" s="110"/>
      <c r="X15" s="110"/>
      <c r="Y15" s="110"/>
      <c r="Z15" s="110"/>
      <c r="AA15" s="110"/>
    </row>
    <row r="16" spans="2:27">
      <c r="B16" s="110"/>
      <c r="C16" s="110"/>
      <c r="D16" s="143" t="s">
        <v>93</v>
      </c>
      <c r="E16" s="142"/>
      <c r="F16" s="135" t="s">
        <v>94</v>
      </c>
      <c r="G16" s="136"/>
      <c r="H16" s="141" t="s">
        <v>120</v>
      </c>
      <c r="I16" s="142"/>
      <c r="J16" s="136" t="s">
        <v>96</v>
      </c>
      <c r="K16" s="141" t="s">
        <v>97</v>
      </c>
      <c r="L16" s="142"/>
      <c r="M16" s="53" t="s">
        <v>98</v>
      </c>
      <c r="N16" s="110"/>
      <c r="O16" s="110"/>
      <c r="P16" s="110"/>
      <c r="Q16" s="110"/>
      <c r="R16" s="143" t="s">
        <v>99</v>
      </c>
      <c r="S16" s="142"/>
      <c r="T16" s="141" t="s">
        <v>100</v>
      </c>
      <c r="U16" s="142"/>
      <c r="V16" s="110"/>
      <c r="W16" s="110"/>
      <c r="X16" s="110"/>
      <c r="Y16" s="110"/>
      <c r="Z16" s="110"/>
      <c r="AA16" s="110"/>
    </row>
    <row r="17" spans="2:21">
      <c r="B17" s="136" t="s">
        <v>101</v>
      </c>
      <c r="C17" s="135" t="s">
        <v>102</v>
      </c>
      <c r="D17" s="17" t="s">
        <v>103</v>
      </c>
      <c r="E17" s="18" t="s">
        <v>104</v>
      </c>
      <c r="F17" s="23" t="s">
        <v>105</v>
      </c>
      <c r="G17" s="17" t="s">
        <v>94</v>
      </c>
      <c r="H17" s="23" t="s">
        <v>107</v>
      </c>
      <c r="I17" s="18" t="s">
        <v>108</v>
      </c>
      <c r="J17" s="17" t="s">
        <v>121</v>
      </c>
      <c r="K17" s="23" t="s">
        <v>107</v>
      </c>
      <c r="L17" s="18" t="s">
        <v>108</v>
      </c>
      <c r="M17" s="67" t="s">
        <v>110</v>
      </c>
      <c r="N17" s="110"/>
      <c r="O17" s="110"/>
      <c r="P17" s="110"/>
      <c r="Q17" s="110"/>
      <c r="R17" s="54" t="s">
        <v>112</v>
      </c>
      <c r="S17" s="56" t="s">
        <v>113</v>
      </c>
      <c r="T17" s="55" t="s">
        <v>112</v>
      </c>
      <c r="U17" s="56" t="s">
        <v>113</v>
      </c>
    </row>
    <row r="18" spans="2:21">
      <c r="B18" s="13" t="s">
        <v>116</v>
      </c>
      <c r="C18" s="16" t="s">
        <v>20</v>
      </c>
      <c r="D18" s="72">
        <v>-92569.814299999998</v>
      </c>
      <c r="E18" s="21">
        <v>0</v>
      </c>
      <c r="F18" s="22" t="s">
        <v>122</v>
      </c>
      <c r="G18" s="68">
        <v>111173.95510000001</v>
      </c>
      <c r="H18" s="19">
        <v>0.83</v>
      </c>
      <c r="I18" s="52">
        <v>0.85</v>
      </c>
      <c r="J18" s="20">
        <v>13.549899999999999</v>
      </c>
      <c r="K18" s="90">
        <v>90</v>
      </c>
      <c r="L18" s="91">
        <v>238</v>
      </c>
      <c r="M18" s="32">
        <v>0.3</v>
      </c>
      <c r="N18" s="110"/>
      <c r="O18" s="110"/>
      <c r="P18" s="110"/>
      <c r="Q18" s="110"/>
      <c r="R18" s="84">
        <f>(D18+E18+G18*H18+K18*J18)/K18</f>
        <v>10.267327033333418</v>
      </c>
      <c r="S18" s="86">
        <f>(D18+E18+G18*I18+K18*J18)/K18</f>
        <v>34.972650388888944</v>
      </c>
      <c r="T18" s="85">
        <f>(D18+E18+G18*H18+L18*J18)/L18</f>
        <v>12.308590894958014</v>
      </c>
      <c r="U18" s="86">
        <f>(D18+E18+G18*I18+L18*J18)/L18</f>
        <v>21.650940063025232</v>
      </c>
    </row>
    <row r="19" spans="2:21">
      <c r="B19" s="14" t="s">
        <v>116</v>
      </c>
      <c r="C19" s="76" t="s">
        <v>22</v>
      </c>
      <c r="D19" s="72">
        <v>-419977.54849999998</v>
      </c>
      <c r="E19" s="21">
        <v>93.503481039999997</v>
      </c>
      <c r="F19" s="22" t="s">
        <v>123</v>
      </c>
      <c r="G19" s="68">
        <v>505493.1666</v>
      </c>
      <c r="H19" s="133">
        <v>0.83</v>
      </c>
      <c r="I19" s="52">
        <v>0.88</v>
      </c>
      <c r="J19" s="20">
        <v>13.535299999999999</v>
      </c>
      <c r="K19" s="90">
        <v>300</v>
      </c>
      <c r="L19" s="91">
        <v>4000</v>
      </c>
      <c r="M19" s="32">
        <v>0.3</v>
      </c>
      <c r="N19" s="110"/>
      <c r="O19" s="110"/>
      <c r="P19" s="110"/>
      <c r="Q19" s="110"/>
      <c r="R19" s="84">
        <f>(D19+E19+G19*H19+K19*J19)/K19</f>
        <v>12.452910863466785</v>
      </c>
      <c r="S19" s="86">
        <f>(D19+E19+G19*I19+K19*J19)/K19</f>
        <v>96.701771963466811</v>
      </c>
      <c r="T19" s="85">
        <f>(D19+E19+G19*H19+L19*J19)/L19</f>
        <v>13.454120814760008</v>
      </c>
      <c r="U19" s="86">
        <f>(D19+E19+G19*I19+L19*J19)/L19</f>
        <v>19.772785397260009</v>
      </c>
    </row>
    <row r="20" spans="2:21">
      <c r="B20" s="14" t="s">
        <v>116</v>
      </c>
      <c r="C20" s="76" t="s">
        <v>24</v>
      </c>
      <c r="D20" s="72">
        <v>-129921.14</v>
      </c>
      <c r="E20" s="21">
        <v>230.8111657</v>
      </c>
      <c r="F20" s="22" t="s">
        <v>123</v>
      </c>
      <c r="G20" s="69">
        <v>143589.4523</v>
      </c>
      <c r="H20" s="51">
        <v>0.9</v>
      </c>
      <c r="I20" s="19">
        <v>0.96</v>
      </c>
      <c r="J20" s="20">
        <v>9.8653999999999993</v>
      </c>
      <c r="K20" s="134">
        <v>300</v>
      </c>
      <c r="L20" s="91">
        <v>4000</v>
      </c>
      <c r="M20" s="32">
        <v>0.3</v>
      </c>
      <c r="N20" s="110"/>
      <c r="O20" s="110"/>
      <c r="P20" s="110"/>
      <c r="Q20" s="110"/>
      <c r="R20" s="84">
        <f>(D20+E20+G20*H20+K20*J20)/K20</f>
        <v>8.3326607856666826</v>
      </c>
      <c r="S20" s="86">
        <f>(D20+E20+G20*I20+K20*J20)/K20</f>
        <v>37.050551245666632</v>
      </c>
      <c r="T20" s="85">
        <f>(D20+E20+G20*H20+L20*J20)/L20</f>
        <v>9.7504445589250004</v>
      </c>
      <c r="U20" s="86">
        <f>(D20+E20+G20*I20+L20*J20)/L20</f>
        <v>11.904286343424998</v>
      </c>
    </row>
    <row r="21" spans="2:21">
      <c r="B21" s="15" t="s">
        <v>116</v>
      </c>
      <c r="C21" s="8" t="s">
        <v>26</v>
      </c>
      <c r="D21" s="73">
        <v>-341927.80060000002</v>
      </c>
      <c r="E21" s="25">
        <v>6196.0765983900001</v>
      </c>
      <c r="F21" s="26" t="s">
        <v>123</v>
      </c>
      <c r="G21" s="70">
        <v>417095.98859999998</v>
      </c>
      <c r="H21" s="71">
        <v>0.8</v>
      </c>
      <c r="I21" s="74">
        <v>0.85</v>
      </c>
      <c r="J21" s="24">
        <v>13.3049</v>
      </c>
      <c r="K21" s="92">
        <v>250</v>
      </c>
      <c r="L21" s="93">
        <v>3188</v>
      </c>
      <c r="M21" s="33">
        <v>0.2</v>
      </c>
      <c r="N21" s="110"/>
      <c r="O21" s="110"/>
      <c r="P21" s="110"/>
      <c r="Q21" s="110"/>
      <c r="R21" s="87">
        <f>(D21+E21+G21*H21+K21*J21)/K21</f>
        <v>5.0851675135598979</v>
      </c>
      <c r="S21" s="89">
        <f>(D21+E21+G21*I21+K21*J21)/K21</f>
        <v>88.504365233559952</v>
      </c>
      <c r="T21" s="88">
        <f>(D21+E21+G21*H21+L21*J21)/L21</f>
        <v>12.660316210285439</v>
      </c>
      <c r="U21" s="89">
        <f>(D21+E21+G21*I21+L21*J21)/L21</f>
        <v>19.201972242280423</v>
      </c>
    </row>
  </sheetData>
  <mergeCells count="11">
    <mergeCell ref="O7:P7"/>
    <mergeCell ref="K7:L7"/>
    <mergeCell ref="T16:U16"/>
    <mergeCell ref="T7:U7"/>
    <mergeCell ref="D16:E16"/>
    <mergeCell ref="H16:I16"/>
    <mergeCell ref="K16:L16"/>
    <mergeCell ref="R16:S16"/>
    <mergeCell ref="R7:S7"/>
    <mergeCell ref="D7:E7"/>
    <mergeCell ref="H7:I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32"/>
  <sheetViews>
    <sheetView topLeftCell="A25" workbookViewId="0">
      <selection activeCell="D105" sqref="D105"/>
    </sheetView>
  </sheetViews>
  <sheetFormatPr defaultRowHeight="15"/>
  <cols>
    <col min="1" max="1" width="48.42578125" bestFit="1" customWidth="1"/>
    <col min="2" max="2" width="11.140625" bestFit="1" customWidth="1"/>
    <col min="3" max="4" width="9.5703125" bestFit="1" customWidth="1"/>
    <col min="5" max="5" width="5" bestFit="1" customWidth="1"/>
    <col min="6" max="6" width="15.42578125" bestFit="1" customWidth="1"/>
    <col min="7" max="7" width="15.7109375" bestFit="1" customWidth="1"/>
    <col min="8" max="8" width="16" bestFit="1" customWidth="1"/>
    <col min="9" max="9" width="13.140625" bestFit="1" customWidth="1"/>
    <col min="10" max="10" width="12.5703125" bestFit="1" customWidth="1"/>
    <col min="11" max="11" width="11.140625" bestFit="1" customWidth="1"/>
    <col min="12" max="12" width="9.7109375" bestFit="1" customWidth="1"/>
    <col min="13" max="13" width="10.5703125" bestFit="1" customWidth="1"/>
    <col min="14" max="14" width="18.42578125" bestFit="1" customWidth="1"/>
    <col min="15" max="15" width="10.5703125" bestFit="1" customWidth="1"/>
    <col min="16" max="16" width="23.5703125" customWidth="1"/>
    <col min="21" max="21" width="12.42578125" bestFit="1" customWidth="1"/>
    <col min="28" max="28" width="11.42578125" bestFit="1" customWidth="1"/>
    <col min="29" max="29" width="11.42578125" customWidth="1"/>
    <col min="30" max="30" width="10.5703125" bestFit="1" customWidth="1"/>
    <col min="33" max="33" width="10.5703125" bestFit="1" customWidth="1"/>
    <col min="34" max="34" width="11.7109375" customWidth="1"/>
  </cols>
  <sheetData>
    <row r="1" spans="1:32">
      <c r="A1" s="109" t="s">
        <v>124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</row>
    <row r="2" spans="1:32">
      <c r="A2" s="110" t="s">
        <v>125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</row>
    <row r="3" spans="1:32">
      <c r="A3" s="110" t="s">
        <v>126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</row>
    <row r="4" spans="1:32">
      <c r="A4" s="110" t="s">
        <v>127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</row>
    <row r="5" spans="1:32">
      <c r="A5" s="110" t="s">
        <v>128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</row>
    <row r="6" spans="1:32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83" t="s">
        <v>129</v>
      </c>
      <c r="V6" s="137" t="s">
        <v>102</v>
      </c>
      <c r="W6" s="110"/>
      <c r="X6" s="144" t="s">
        <v>130</v>
      </c>
      <c r="Y6" s="144"/>
      <c r="Z6" s="83"/>
      <c r="AA6" s="110"/>
      <c r="AB6" s="110"/>
      <c r="AC6" s="137" t="s">
        <v>131</v>
      </c>
      <c r="AD6" s="137" t="s">
        <v>131</v>
      </c>
      <c r="AE6" s="137" t="s">
        <v>132</v>
      </c>
      <c r="AF6" s="137" t="s">
        <v>133</v>
      </c>
    </row>
    <row r="7" spans="1:32" ht="15.75" thickBot="1">
      <c r="A7" s="12" t="s">
        <v>134</v>
      </c>
      <c r="B7" s="12" t="s">
        <v>135</v>
      </c>
      <c r="C7" s="12" t="s">
        <v>136</v>
      </c>
      <c r="D7" s="12" t="s">
        <v>137</v>
      </c>
      <c r="E7" s="12" t="s">
        <v>117</v>
      </c>
      <c r="F7" s="12" t="s">
        <v>138</v>
      </c>
      <c r="G7" s="12" t="s">
        <v>139</v>
      </c>
      <c r="H7" s="12" t="s">
        <v>140</v>
      </c>
      <c r="I7" s="12" t="s">
        <v>141</v>
      </c>
      <c r="J7" s="12" t="s">
        <v>142</v>
      </c>
      <c r="K7" s="12" t="s">
        <v>143</v>
      </c>
      <c r="L7" s="12" t="s">
        <v>144</v>
      </c>
      <c r="M7" s="12" t="s">
        <v>145</v>
      </c>
      <c r="N7" s="12" t="s">
        <v>146</v>
      </c>
      <c r="O7" s="12" t="s">
        <v>147</v>
      </c>
      <c r="P7" s="12" t="s">
        <v>148</v>
      </c>
      <c r="Q7" s="110"/>
      <c r="R7" s="110"/>
      <c r="S7" s="110"/>
      <c r="T7" s="110"/>
      <c r="U7" s="4" t="s">
        <v>102</v>
      </c>
      <c r="V7" s="43" t="s">
        <v>149</v>
      </c>
      <c r="W7" s="110"/>
      <c r="X7" s="43" t="s">
        <v>150</v>
      </c>
      <c r="Y7" s="43" t="s">
        <v>151</v>
      </c>
      <c r="Z7" s="43" t="s">
        <v>152</v>
      </c>
      <c r="AA7" s="110"/>
      <c r="AB7" s="110"/>
      <c r="AC7" s="43" t="s">
        <v>150</v>
      </c>
      <c r="AD7" s="43" t="s">
        <v>153</v>
      </c>
      <c r="AE7" s="43" t="s">
        <v>154</v>
      </c>
      <c r="AF7" s="43" t="s">
        <v>154</v>
      </c>
    </row>
    <row r="8" spans="1:32">
      <c r="A8" s="110" t="s">
        <v>155</v>
      </c>
      <c r="B8" s="110" t="s">
        <v>156</v>
      </c>
      <c r="C8" s="110">
        <v>10.6</v>
      </c>
      <c r="D8" s="110">
        <v>13.6</v>
      </c>
      <c r="E8" s="110">
        <v>10.1</v>
      </c>
      <c r="F8" s="110">
        <v>110</v>
      </c>
      <c r="G8" s="110">
        <v>135</v>
      </c>
      <c r="H8" s="110" t="s">
        <v>157</v>
      </c>
      <c r="I8" s="110"/>
      <c r="J8" s="110"/>
      <c r="K8" s="110"/>
      <c r="L8" s="110">
        <v>0.4</v>
      </c>
      <c r="M8" s="110">
        <v>0</v>
      </c>
      <c r="N8" s="110">
        <v>100</v>
      </c>
      <c r="O8" s="110" t="s">
        <v>158</v>
      </c>
      <c r="P8" s="110" t="s">
        <v>159</v>
      </c>
      <c r="Q8" s="80" t="s">
        <v>160</v>
      </c>
      <c r="R8" s="110"/>
      <c r="S8" s="110"/>
      <c r="T8" s="110"/>
      <c r="U8" s="110" t="s">
        <v>161</v>
      </c>
      <c r="V8" s="110">
        <f>IFERROR(MATCH(U8,'CostModel Coef'!$C$9:$C$13,0),0)</f>
        <v>0</v>
      </c>
      <c r="W8" s="110"/>
      <c r="X8" s="82">
        <f>IF(V8&gt;0,INDEX('CostModel Coef'!$D$9:$D$13,V8)+INDEX('CostModel Coef'!$E$9:$E$13,V8)+INDEX('CostModel Coef'!$G$9:$G$13,V8)*E8,0)</f>
        <v>0</v>
      </c>
      <c r="Y8" s="82">
        <f>IF(V8&gt;0,INDEX('CostModel Coef'!$J$9:$J$13,V8),0)</f>
        <v>0</v>
      </c>
      <c r="Z8" s="112">
        <f>IF(V8&gt;0,INDEX('CostModel Coef'!$M$9:$M$13,V8),0)</f>
        <v>0</v>
      </c>
      <c r="AA8" s="110"/>
      <c r="AB8" s="110"/>
      <c r="AC8" s="44">
        <f>ROUND(X8*(1+Z8),2)</f>
        <v>0</v>
      </c>
      <c r="AD8" s="44">
        <f>ROUND(Y8*(1+Z8),2)</f>
        <v>0</v>
      </c>
      <c r="AE8" s="35">
        <f>IF(V8&gt;0,INDEX('CostModel Coef'!$K$9:$K$13,V8),0)</f>
        <v>0</v>
      </c>
      <c r="AF8" s="35">
        <f>IF(V8&gt;0,INDEX('CostModel Coef'!$L$9:$L$13,V8),0)</f>
        <v>0</v>
      </c>
    </row>
    <row r="9" spans="1:32">
      <c r="A9" s="110" t="s">
        <v>162</v>
      </c>
      <c r="B9" s="110" t="s">
        <v>156</v>
      </c>
      <c r="C9" s="110">
        <v>11.6</v>
      </c>
      <c r="D9" s="110">
        <v>14.1</v>
      </c>
      <c r="E9" s="110">
        <v>11</v>
      </c>
      <c r="F9" s="110">
        <v>110</v>
      </c>
      <c r="G9" s="110">
        <v>135</v>
      </c>
      <c r="H9" s="110" t="s">
        <v>157</v>
      </c>
      <c r="I9" s="110"/>
      <c r="J9" s="110"/>
      <c r="K9" s="110"/>
      <c r="L9" s="110">
        <v>0.4</v>
      </c>
      <c r="M9" s="110">
        <v>0</v>
      </c>
      <c r="N9" s="110">
        <v>100</v>
      </c>
      <c r="O9" s="110" t="s">
        <v>158</v>
      </c>
      <c r="P9" s="110" t="s">
        <v>163</v>
      </c>
      <c r="Q9" s="80" t="s">
        <v>160</v>
      </c>
      <c r="R9" s="110"/>
      <c r="S9" s="110"/>
      <c r="T9" s="110"/>
      <c r="U9" s="110" t="s">
        <v>161</v>
      </c>
      <c r="V9" s="110">
        <f>IFERROR(MATCH(U9,'CostModel Coef'!$C$9:$C$13,0),0)</f>
        <v>0</v>
      </c>
      <c r="W9" s="110"/>
      <c r="X9" s="82">
        <f>IF(V9&gt;0,INDEX('CostModel Coef'!$D$9:$D$13,V9)+INDEX('CostModel Coef'!$E$9:$E$13,V9)+INDEX('CostModel Coef'!$G$9:$G$13,V9)*E9,0)</f>
        <v>0</v>
      </c>
      <c r="Y9" s="82">
        <f>IF(V9&gt;0,INDEX('CostModel Coef'!$J$9:$J$13,V9),0)</f>
        <v>0</v>
      </c>
      <c r="Z9" s="112">
        <f>IF(V9&gt;0,INDEX('CostModel Coef'!$M$9:$M$13,V9),0)</f>
        <v>0</v>
      </c>
      <c r="AA9" s="110"/>
      <c r="AB9" s="110"/>
      <c r="AC9" s="44">
        <f t="shared" ref="AC9:AC47" si="0">ROUND(X9*(1+Z9),2)</f>
        <v>0</v>
      </c>
      <c r="AD9" s="44">
        <f t="shared" ref="AD9:AD47" si="1">ROUND(Y9*(1+Z9),2)</f>
        <v>0</v>
      </c>
      <c r="AE9" s="35">
        <f>IF(V9&gt;0,INDEX('CostModel Coef'!$K$9:$K$13,V9),0)</f>
        <v>0</v>
      </c>
      <c r="AF9" s="35">
        <f>IF(V9&gt;0,INDEX('CostModel Coef'!$L$9:$L$13,V9),0)</f>
        <v>0</v>
      </c>
    </row>
    <row r="10" spans="1:32">
      <c r="A10" s="110" t="s">
        <v>164</v>
      </c>
      <c r="B10" s="110" t="s">
        <v>156</v>
      </c>
      <c r="C10" s="110">
        <v>11.6</v>
      </c>
      <c r="D10" s="110">
        <v>14.1</v>
      </c>
      <c r="E10" s="110">
        <v>11</v>
      </c>
      <c r="F10" s="110">
        <v>110</v>
      </c>
      <c r="G10" s="110">
        <v>135</v>
      </c>
      <c r="H10" s="110" t="s">
        <v>157</v>
      </c>
      <c r="I10" s="110">
        <v>0.66300000000000003</v>
      </c>
      <c r="J10" s="110">
        <v>0.27299000000000001</v>
      </c>
      <c r="K10" s="110">
        <v>318</v>
      </c>
      <c r="L10" s="110">
        <v>0.4</v>
      </c>
      <c r="M10" s="110">
        <v>0</v>
      </c>
      <c r="N10" s="110">
        <v>100</v>
      </c>
      <c r="O10" s="110" t="s">
        <v>165</v>
      </c>
      <c r="P10" s="110" t="s">
        <v>166</v>
      </c>
      <c r="Q10" s="80" t="s">
        <v>160</v>
      </c>
      <c r="R10" s="110"/>
      <c r="S10" s="110"/>
      <c r="T10" s="110"/>
      <c r="U10" s="110" t="s">
        <v>16</v>
      </c>
      <c r="V10" s="110">
        <f>IFERROR(MATCH(U10,'CostModel Coef'!$C$9:$C$13,0),0)</f>
        <v>4</v>
      </c>
      <c r="W10" s="110"/>
      <c r="X10" s="82">
        <f>IF(V10&gt;0,INDEX('CostModel Coef'!$D$9:$D$13,V10)+INDEX('CostModel Coef'!$E$9:$E$13,V10)+INDEX('CostModel Coef'!$G$9:$G$13,V10)*E10,0)</f>
        <v>231.04057000000103</v>
      </c>
      <c r="Y10" s="82">
        <f>IF(V10&gt;0,INDEX('CostModel Coef'!$J$9:$J$13,V10),0)</f>
        <v>958.56000000000006</v>
      </c>
      <c r="Z10" s="112">
        <f>IF(V10&gt;0,INDEX('CostModel Coef'!$M$9:$M$13,V10),0)</f>
        <v>0.2</v>
      </c>
      <c r="AA10" s="110"/>
      <c r="AB10" s="110"/>
      <c r="AC10" s="44">
        <f t="shared" si="0"/>
        <v>277.25</v>
      </c>
      <c r="AD10" s="44">
        <f t="shared" si="1"/>
        <v>1150.27</v>
      </c>
      <c r="AE10" s="35">
        <f>IF(V10&gt;0,INDEX('CostModel Coef'!$K$9:$K$13,V10),0)</f>
        <v>6.916666666666667</v>
      </c>
      <c r="AF10" s="35">
        <f>IF(V10&gt;0,INDEX('CostModel Coef'!$L$9:$L$13,V10),0)</f>
        <v>105.86833333333334</v>
      </c>
    </row>
    <row r="11" spans="1:32">
      <c r="A11" s="110" t="s">
        <v>167</v>
      </c>
      <c r="B11" s="110" t="s">
        <v>156</v>
      </c>
      <c r="C11" s="110">
        <v>12.2</v>
      </c>
      <c r="D11" s="110">
        <v>14.3</v>
      </c>
      <c r="E11" s="110">
        <v>11.5</v>
      </c>
      <c r="F11" s="110">
        <v>110</v>
      </c>
      <c r="G11" s="110">
        <v>135</v>
      </c>
      <c r="H11" s="110" t="s">
        <v>157</v>
      </c>
      <c r="I11" s="110">
        <v>0.66300000000000003</v>
      </c>
      <c r="J11" s="110">
        <v>0.25963999999999998</v>
      </c>
      <c r="K11" s="110">
        <v>318</v>
      </c>
      <c r="L11" s="110">
        <v>0.4</v>
      </c>
      <c r="M11" s="110">
        <v>0</v>
      </c>
      <c r="N11" s="110">
        <v>100</v>
      </c>
      <c r="O11" s="110" t="s">
        <v>165</v>
      </c>
      <c r="P11" s="110" t="s">
        <v>168</v>
      </c>
      <c r="Q11" s="80" t="s">
        <v>160</v>
      </c>
      <c r="R11" s="110"/>
      <c r="S11" s="110"/>
      <c r="T11" s="110"/>
      <c r="U11" s="110" t="s">
        <v>16</v>
      </c>
      <c r="V11" s="110">
        <f>IFERROR(MATCH(U11,'CostModel Coef'!$C$9:$C$13,0),0)</f>
        <v>4</v>
      </c>
      <c r="W11" s="110"/>
      <c r="X11" s="82">
        <f>IF(V11&gt;0,INDEX('CostModel Coef'!$D$9:$D$13,V11)+INDEX('CostModel Coef'!$E$9:$E$13,V11)+INDEX('CostModel Coef'!$G$9:$G$13,V11)*E11,0)</f>
        <v>1387.1535700000022</v>
      </c>
      <c r="Y11" s="82">
        <f>IF(V11&gt;0,INDEX('CostModel Coef'!$J$9:$J$13,V11),0)</f>
        <v>958.56000000000006</v>
      </c>
      <c r="Z11" s="112">
        <f>IF(V11&gt;0,INDEX('CostModel Coef'!$M$9:$M$13,V11),0)</f>
        <v>0.2</v>
      </c>
      <c r="AA11" s="110"/>
      <c r="AB11" s="110"/>
      <c r="AC11" s="44">
        <f t="shared" si="0"/>
        <v>1664.58</v>
      </c>
      <c r="AD11" s="44">
        <f t="shared" si="1"/>
        <v>1150.27</v>
      </c>
      <c r="AE11" s="35">
        <f>IF(V11&gt;0,INDEX('CostModel Coef'!$K$9:$K$13,V11),0)</f>
        <v>6.916666666666667</v>
      </c>
      <c r="AF11" s="35">
        <f>IF(V11&gt;0,INDEX('CostModel Coef'!$L$9:$L$13,V11),0)</f>
        <v>105.86833333333334</v>
      </c>
    </row>
    <row r="12" spans="1:32">
      <c r="A12" s="110" t="s">
        <v>169</v>
      </c>
      <c r="B12" s="110" t="s">
        <v>156</v>
      </c>
      <c r="C12" s="110">
        <v>12.8</v>
      </c>
      <c r="D12" s="110">
        <v>14.6</v>
      </c>
      <c r="E12" s="110">
        <v>12</v>
      </c>
      <c r="F12" s="110">
        <v>110</v>
      </c>
      <c r="G12" s="110">
        <v>135</v>
      </c>
      <c r="H12" s="110" t="s">
        <v>157</v>
      </c>
      <c r="I12" s="110">
        <v>0.66300000000000003</v>
      </c>
      <c r="J12" s="110">
        <v>0.24715999999999999</v>
      </c>
      <c r="K12" s="110">
        <v>318</v>
      </c>
      <c r="L12" s="110">
        <v>0.4</v>
      </c>
      <c r="M12" s="110">
        <v>0</v>
      </c>
      <c r="N12" s="110">
        <v>100</v>
      </c>
      <c r="O12" s="110" t="s">
        <v>165</v>
      </c>
      <c r="P12" s="110" t="s">
        <v>170</v>
      </c>
      <c r="Q12" s="80" t="s">
        <v>160</v>
      </c>
      <c r="R12" s="110"/>
      <c r="S12" s="110"/>
      <c r="T12" s="110"/>
      <c r="U12" s="110" t="s">
        <v>16</v>
      </c>
      <c r="V12" s="110">
        <f>IFERROR(MATCH(U12,'CostModel Coef'!$C$9:$C$13,0),0)</f>
        <v>4</v>
      </c>
      <c r="W12" s="110"/>
      <c r="X12" s="82">
        <f>IF(V12&gt;0,INDEX('CostModel Coef'!$D$9:$D$13,V12)+INDEX('CostModel Coef'!$E$9:$E$13,V12)+INDEX('CostModel Coef'!$G$9:$G$13,V12)*E12,0)</f>
        <v>2543.2665699999998</v>
      </c>
      <c r="Y12" s="82">
        <f>IF(V12&gt;0,INDEX('CostModel Coef'!$J$9:$J$13,V12),0)</f>
        <v>958.56000000000006</v>
      </c>
      <c r="Z12" s="112">
        <f>IF(V12&gt;0,INDEX('CostModel Coef'!$M$9:$M$13,V12),0)</f>
        <v>0.2</v>
      </c>
      <c r="AA12" s="110"/>
      <c r="AB12" s="110"/>
      <c r="AC12" s="44">
        <f t="shared" si="0"/>
        <v>3051.92</v>
      </c>
      <c r="AD12" s="44">
        <f t="shared" si="1"/>
        <v>1150.27</v>
      </c>
      <c r="AE12" s="35">
        <f>IF(V12&gt;0,INDEX('CostModel Coef'!$K$9:$K$13,V12),0)</f>
        <v>6.916666666666667</v>
      </c>
      <c r="AF12" s="35">
        <f>IF(V12&gt;0,INDEX('CostModel Coef'!$L$9:$L$13,V12),0)</f>
        <v>105.86833333333334</v>
      </c>
    </row>
    <row r="13" spans="1:32">
      <c r="A13" s="110" t="s">
        <v>171</v>
      </c>
      <c r="B13" s="110" t="s">
        <v>156</v>
      </c>
      <c r="C13" s="110">
        <v>13.3</v>
      </c>
      <c r="D13" s="110">
        <v>14.9</v>
      </c>
      <c r="E13" s="110">
        <v>12.5</v>
      </c>
      <c r="F13" s="110">
        <v>110</v>
      </c>
      <c r="G13" s="110">
        <v>135</v>
      </c>
      <c r="H13" s="110" t="s">
        <v>157</v>
      </c>
      <c r="I13" s="110">
        <v>0.66300000000000003</v>
      </c>
      <c r="J13" s="110">
        <v>0.23591000000000001</v>
      </c>
      <c r="K13" s="110">
        <v>318</v>
      </c>
      <c r="L13" s="110">
        <v>0.4</v>
      </c>
      <c r="M13" s="110">
        <v>0</v>
      </c>
      <c r="N13" s="110">
        <v>100</v>
      </c>
      <c r="O13" s="110" t="s">
        <v>165</v>
      </c>
      <c r="P13" s="110" t="s">
        <v>172</v>
      </c>
      <c r="Q13" s="80" t="s">
        <v>160</v>
      </c>
      <c r="R13" s="110"/>
      <c r="S13" s="110"/>
      <c r="T13" s="110"/>
      <c r="U13" s="110" t="s">
        <v>16</v>
      </c>
      <c r="V13" s="110">
        <f>IFERROR(MATCH(U13,'CostModel Coef'!$C$9:$C$13,0),0)</f>
        <v>4</v>
      </c>
      <c r="W13" s="110"/>
      <c r="X13" s="82">
        <f>IF(V13&gt;0,INDEX('CostModel Coef'!$D$9:$D$13,V13)+INDEX('CostModel Coef'!$E$9:$E$13,V13)+INDEX('CostModel Coef'!$G$9:$G$13,V13)*E13,0)</f>
        <v>3699.379570000001</v>
      </c>
      <c r="Y13" s="82">
        <f>IF(V13&gt;0,INDEX('CostModel Coef'!$J$9:$J$13,V13),0)</f>
        <v>958.56000000000006</v>
      </c>
      <c r="Z13" s="112">
        <f>IF(V13&gt;0,INDEX('CostModel Coef'!$M$9:$M$13,V13),0)</f>
        <v>0.2</v>
      </c>
      <c r="AA13" s="110"/>
      <c r="AB13" s="110"/>
      <c r="AC13" s="44">
        <f t="shared" si="0"/>
        <v>4439.26</v>
      </c>
      <c r="AD13" s="44">
        <f t="shared" si="1"/>
        <v>1150.27</v>
      </c>
      <c r="AE13" s="35">
        <f>IF(V13&gt;0,INDEX('CostModel Coef'!$K$9:$K$13,V13),0)</f>
        <v>6.916666666666667</v>
      </c>
      <c r="AF13" s="35">
        <f>IF(V13&gt;0,INDEX('CostModel Coef'!$L$9:$L$13,V13),0)</f>
        <v>105.86833333333334</v>
      </c>
    </row>
    <row r="14" spans="1:32">
      <c r="A14" s="110" t="s">
        <v>173</v>
      </c>
      <c r="B14" s="110" t="s">
        <v>156</v>
      </c>
      <c r="C14" s="110">
        <v>11.4</v>
      </c>
      <c r="D14" s="110">
        <v>13.3</v>
      </c>
      <c r="E14" s="110">
        <v>10.8</v>
      </c>
      <c r="F14" s="110">
        <v>135</v>
      </c>
      <c r="G14" s="110">
        <v>240</v>
      </c>
      <c r="H14" s="110" t="s">
        <v>157</v>
      </c>
      <c r="I14" s="110"/>
      <c r="J14" s="110"/>
      <c r="K14" s="110"/>
      <c r="L14" s="110">
        <v>0.41</v>
      </c>
      <c r="M14" s="110">
        <v>0</v>
      </c>
      <c r="N14" s="110">
        <v>100</v>
      </c>
      <c r="O14" s="110" t="s">
        <v>158</v>
      </c>
      <c r="P14" s="110" t="s">
        <v>174</v>
      </c>
      <c r="Q14" s="80" t="s">
        <v>160</v>
      </c>
      <c r="R14" s="110"/>
      <c r="S14" s="110"/>
      <c r="T14" s="110"/>
      <c r="U14" s="110" t="s">
        <v>161</v>
      </c>
      <c r="V14" s="110">
        <f>IFERROR(MATCH(U14,'CostModel Coef'!$C$9:$C$13,0),0)</f>
        <v>0</v>
      </c>
      <c r="W14" s="110"/>
      <c r="X14" s="82">
        <f>IF(V14&gt;0,INDEX('CostModel Coef'!$D$9:$D$13,V14)+INDEX('CostModel Coef'!$E$9:$E$13,V14)+INDEX('CostModel Coef'!$G$9:$G$13,V14)*E14,0)</f>
        <v>0</v>
      </c>
      <c r="Y14" s="82">
        <f>IF(V14&gt;0,INDEX('CostModel Coef'!$J$9:$J$13,V14),0)</f>
        <v>0</v>
      </c>
      <c r="Z14" s="112">
        <f>IF(V14&gt;0,INDEX('CostModel Coef'!$M$9:$M$13,V14),0)</f>
        <v>0</v>
      </c>
      <c r="AA14" s="110"/>
      <c r="AB14" s="110"/>
      <c r="AC14" s="44">
        <f t="shared" si="0"/>
        <v>0</v>
      </c>
      <c r="AD14" s="44">
        <f t="shared" si="1"/>
        <v>0</v>
      </c>
      <c r="AE14" s="35">
        <f>IF(V14&gt;0,INDEX('CostModel Coef'!$K$9:$K$13,V14),0)</f>
        <v>0</v>
      </c>
      <c r="AF14" s="35">
        <f>IF(V14&gt;0,INDEX('CostModel Coef'!$L$9:$L$13,V14),0)</f>
        <v>0</v>
      </c>
    </row>
    <row r="15" spans="1:32">
      <c r="A15" s="110" t="s">
        <v>175</v>
      </c>
      <c r="B15" s="110" t="s">
        <v>156</v>
      </c>
      <c r="C15" s="110">
        <v>11.4</v>
      </c>
      <c r="D15" s="110">
        <v>13.3</v>
      </c>
      <c r="E15" s="110">
        <v>10.8</v>
      </c>
      <c r="F15" s="110">
        <v>135</v>
      </c>
      <c r="G15" s="110">
        <v>240</v>
      </c>
      <c r="H15" s="110" t="s">
        <v>157</v>
      </c>
      <c r="I15" s="110">
        <v>0.69599999999999995</v>
      </c>
      <c r="J15" s="110">
        <v>0.27372000000000002</v>
      </c>
      <c r="K15" s="110">
        <v>326.39999999999998</v>
      </c>
      <c r="L15" s="110">
        <v>0.41</v>
      </c>
      <c r="M15" s="110">
        <v>0</v>
      </c>
      <c r="N15" s="110">
        <v>100</v>
      </c>
      <c r="O15" s="110" t="s">
        <v>165</v>
      </c>
      <c r="P15" s="110" t="s">
        <v>176</v>
      </c>
      <c r="Q15" s="80" t="s">
        <v>160</v>
      </c>
      <c r="R15" s="110"/>
      <c r="S15" s="110"/>
      <c r="T15" s="110"/>
      <c r="U15" s="110" t="s">
        <v>16</v>
      </c>
      <c r="V15" s="110">
        <f>IFERROR(MATCH(U15,'CostModel Coef'!$C$9:$C$13,0),0)</f>
        <v>4</v>
      </c>
      <c r="W15" s="110"/>
      <c r="X15" s="82">
        <f>IF(V15&gt;0,INDEX('CostModel Coef'!$D$9:$D$13,V15)+INDEX('CostModel Coef'!$E$9:$E$13,V15)+INDEX('CostModel Coef'!$G$9:$G$13,V15)*E15,0)</f>
        <v>-231.40462999999727</v>
      </c>
      <c r="Y15" s="82">
        <f>IF(V15&gt;0,INDEX('CostModel Coef'!$J$9:$J$13,V15),0)</f>
        <v>958.56000000000006</v>
      </c>
      <c r="Z15" s="112">
        <f>IF(V15&gt;0,INDEX('CostModel Coef'!$M$9:$M$13,V15),0)</f>
        <v>0.2</v>
      </c>
      <c r="AA15" s="110"/>
      <c r="AB15" s="110"/>
      <c r="AC15" s="44">
        <f t="shared" si="0"/>
        <v>-277.69</v>
      </c>
      <c r="AD15" s="44">
        <f t="shared" si="1"/>
        <v>1150.27</v>
      </c>
      <c r="AE15" s="35">
        <f>IF(V15&gt;0,INDEX('CostModel Coef'!$K$9:$K$13,V15),0)</f>
        <v>6.916666666666667</v>
      </c>
      <c r="AF15" s="35">
        <f>IF(V15&gt;0,INDEX('CostModel Coef'!$L$9:$L$13,V15),0)</f>
        <v>105.86833333333334</v>
      </c>
    </row>
    <row r="16" spans="1:32">
      <c r="A16" s="110" t="s">
        <v>177</v>
      </c>
      <c r="B16" s="110" t="s">
        <v>156</v>
      </c>
      <c r="C16" s="110">
        <v>12.4</v>
      </c>
      <c r="D16" s="110">
        <v>14.2</v>
      </c>
      <c r="E16" s="110">
        <v>11.5</v>
      </c>
      <c r="F16" s="110">
        <v>135</v>
      </c>
      <c r="G16" s="110">
        <v>240</v>
      </c>
      <c r="H16" s="110" t="s">
        <v>157</v>
      </c>
      <c r="I16" s="110">
        <v>0.69599999999999995</v>
      </c>
      <c r="J16" s="110">
        <v>0.25480999999999998</v>
      </c>
      <c r="K16" s="110">
        <v>326.39999999999998</v>
      </c>
      <c r="L16" s="110">
        <v>0.41</v>
      </c>
      <c r="M16" s="110">
        <v>0</v>
      </c>
      <c r="N16" s="110">
        <v>100</v>
      </c>
      <c r="O16" s="110" t="s">
        <v>165</v>
      </c>
      <c r="P16" s="110" t="s">
        <v>178</v>
      </c>
      <c r="Q16" s="80" t="s">
        <v>160</v>
      </c>
      <c r="R16" s="110"/>
      <c r="S16" s="110"/>
      <c r="T16" s="110"/>
      <c r="U16" s="110" t="s">
        <v>16</v>
      </c>
      <c r="V16" s="110">
        <f>IFERROR(MATCH(U16,'CostModel Coef'!$C$9:$C$13,0),0)</f>
        <v>4</v>
      </c>
      <c r="W16" s="110"/>
      <c r="X16" s="82">
        <f>IF(V16&gt;0,INDEX('CostModel Coef'!$D$9:$D$13,V16)+INDEX('CostModel Coef'!$E$9:$E$13,V16)+INDEX('CostModel Coef'!$G$9:$G$13,V16)*E16,0)</f>
        <v>1387.1535700000022</v>
      </c>
      <c r="Y16" s="82">
        <f>IF(V16&gt;0,INDEX('CostModel Coef'!$J$9:$J$13,V16),0)</f>
        <v>958.56000000000006</v>
      </c>
      <c r="Z16" s="112">
        <f>IF(V16&gt;0,INDEX('CostModel Coef'!$M$9:$M$13,V16),0)</f>
        <v>0.2</v>
      </c>
      <c r="AA16" s="110"/>
      <c r="AB16" s="110"/>
      <c r="AC16" s="44">
        <f t="shared" si="0"/>
        <v>1664.58</v>
      </c>
      <c r="AD16" s="44">
        <f t="shared" si="1"/>
        <v>1150.27</v>
      </c>
      <c r="AE16" s="35">
        <f>IF(V16&gt;0,INDEX('CostModel Coef'!$K$9:$K$13,V16),0)</f>
        <v>6.916666666666667</v>
      </c>
      <c r="AF16" s="35">
        <f>IF(V16&gt;0,INDEX('CostModel Coef'!$L$9:$L$13,V16),0)</f>
        <v>105.86833333333334</v>
      </c>
    </row>
    <row r="17" spans="1:34">
      <c r="A17" s="110" t="s">
        <v>179</v>
      </c>
      <c r="B17" s="110" t="s">
        <v>156</v>
      </c>
      <c r="C17" s="110">
        <v>13.1</v>
      </c>
      <c r="D17" s="110">
        <v>14.8</v>
      </c>
      <c r="E17" s="110">
        <v>12</v>
      </c>
      <c r="F17" s="110">
        <v>135</v>
      </c>
      <c r="G17" s="110">
        <v>240</v>
      </c>
      <c r="H17" s="110" t="s">
        <v>157</v>
      </c>
      <c r="I17" s="110">
        <v>0.69599999999999995</v>
      </c>
      <c r="J17" s="110">
        <v>0.24278</v>
      </c>
      <c r="K17" s="110">
        <v>326.39999999999998</v>
      </c>
      <c r="L17" s="110">
        <v>0.41</v>
      </c>
      <c r="M17" s="110">
        <v>0</v>
      </c>
      <c r="N17" s="110">
        <v>100</v>
      </c>
      <c r="O17" s="110" t="s">
        <v>165</v>
      </c>
      <c r="P17" s="110" t="s">
        <v>180</v>
      </c>
      <c r="Q17" s="80" t="s">
        <v>160</v>
      </c>
      <c r="R17" s="110"/>
      <c r="S17" s="110"/>
      <c r="T17" s="110"/>
      <c r="U17" s="110" t="s">
        <v>16</v>
      </c>
      <c r="V17" s="110">
        <f>IFERROR(MATCH(U17,'CostModel Coef'!$C$9:$C$13,0),0)</f>
        <v>4</v>
      </c>
      <c r="W17" s="110"/>
      <c r="X17" s="82">
        <f>IF(V17&gt;0,INDEX('CostModel Coef'!$D$9:$D$13,V17)+INDEX('CostModel Coef'!$E$9:$E$13,V17)+INDEX('CostModel Coef'!$G$9:$G$13,V17)*E17,0)</f>
        <v>2543.2665699999998</v>
      </c>
      <c r="Y17" s="82">
        <f>IF(V17&gt;0,INDEX('CostModel Coef'!$J$9:$J$13,V17),0)</f>
        <v>958.56000000000006</v>
      </c>
      <c r="Z17" s="112">
        <f>IF(V17&gt;0,INDEX('CostModel Coef'!$M$9:$M$13,V17),0)</f>
        <v>0.2</v>
      </c>
      <c r="AA17" s="110"/>
      <c r="AB17" s="110"/>
      <c r="AC17" s="44">
        <f t="shared" si="0"/>
        <v>3051.92</v>
      </c>
      <c r="AD17" s="44">
        <f t="shared" si="1"/>
        <v>1150.27</v>
      </c>
      <c r="AE17" s="35">
        <f>IF(V17&gt;0,INDEX('CostModel Coef'!$K$9:$K$13,V17),0)</f>
        <v>6.916666666666667</v>
      </c>
      <c r="AF17" s="35">
        <f>IF(V17&gt;0,INDEX('CostModel Coef'!$L$9:$L$13,V17),0)</f>
        <v>105.86833333333334</v>
      </c>
      <c r="AG17" s="110"/>
      <c r="AH17" s="110"/>
    </row>
    <row r="18" spans="1:34">
      <c r="A18" s="110" t="s">
        <v>181</v>
      </c>
      <c r="B18" s="110" t="s">
        <v>156</v>
      </c>
      <c r="C18" s="110">
        <v>13.8</v>
      </c>
      <c r="D18" s="110">
        <v>15.5</v>
      </c>
      <c r="E18" s="110">
        <v>12.5</v>
      </c>
      <c r="F18" s="110">
        <v>135</v>
      </c>
      <c r="G18" s="110">
        <v>240</v>
      </c>
      <c r="H18" s="110" t="s">
        <v>157</v>
      </c>
      <c r="I18" s="110">
        <v>0.69599999999999995</v>
      </c>
      <c r="J18" s="110">
        <v>0.23149</v>
      </c>
      <c r="K18" s="110">
        <v>326.39999999999998</v>
      </c>
      <c r="L18" s="110">
        <v>0.41</v>
      </c>
      <c r="M18" s="110">
        <v>0</v>
      </c>
      <c r="N18" s="110">
        <v>100</v>
      </c>
      <c r="O18" s="110" t="s">
        <v>165</v>
      </c>
      <c r="P18" s="110" t="s">
        <v>45</v>
      </c>
      <c r="Q18" s="80" t="s">
        <v>160</v>
      </c>
      <c r="R18" s="110"/>
      <c r="S18" s="110"/>
      <c r="T18" s="110"/>
      <c r="U18" s="110" t="s">
        <v>16</v>
      </c>
      <c r="V18" s="110">
        <f>IFERROR(MATCH(U18,'CostModel Coef'!$C$9:$C$13,0),0)</f>
        <v>4</v>
      </c>
      <c r="W18" s="110"/>
      <c r="X18" s="82">
        <f>IF(V18&gt;0,INDEX('CostModel Coef'!$D$9:$D$13,V18)+INDEX('CostModel Coef'!$E$9:$E$13,V18)+INDEX('CostModel Coef'!$G$9:$G$13,V18)*E18,0)</f>
        <v>3699.379570000001</v>
      </c>
      <c r="Y18" s="82">
        <f>IF(V18&gt;0,INDEX('CostModel Coef'!$J$9:$J$13,V18),0)</f>
        <v>958.56000000000006</v>
      </c>
      <c r="Z18" s="112">
        <f>IF(V18&gt;0,INDEX('CostModel Coef'!$M$9:$M$13,V18),0)</f>
        <v>0.2</v>
      </c>
      <c r="AA18" s="110"/>
      <c r="AB18" s="110"/>
      <c r="AC18" s="44">
        <f t="shared" si="0"/>
        <v>4439.26</v>
      </c>
      <c r="AD18" s="44">
        <f t="shared" si="1"/>
        <v>1150.27</v>
      </c>
      <c r="AE18" s="35">
        <f>IF(V18&gt;0,INDEX('CostModel Coef'!$K$9:$K$13,V18),0)</f>
        <v>6.916666666666667</v>
      </c>
      <c r="AF18" s="35">
        <f>IF(V18&gt;0,INDEX('CostModel Coef'!$L$9:$L$13,V18),0)</f>
        <v>105.86833333333334</v>
      </c>
      <c r="AG18" s="110"/>
      <c r="AH18" s="110"/>
    </row>
    <row r="19" spans="1:34">
      <c r="A19" s="110" t="s">
        <v>182</v>
      </c>
      <c r="B19" s="110" t="s">
        <v>156</v>
      </c>
      <c r="C19" s="110">
        <v>11.4</v>
      </c>
      <c r="D19" s="110">
        <v>11.6</v>
      </c>
      <c r="E19" s="110">
        <v>9.5</v>
      </c>
      <c r="F19" s="110">
        <v>135</v>
      </c>
      <c r="G19" s="110">
        <v>240</v>
      </c>
      <c r="H19" s="110" t="s">
        <v>157</v>
      </c>
      <c r="I19" s="110"/>
      <c r="J19" s="110"/>
      <c r="K19" s="110"/>
      <c r="L19" s="110">
        <v>0.41</v>
      </c>
      <c r="M19" s="110">
        <v>0</v>
      </c>
      <c r="N19" s="110">
        <v>100</v>
      </c>
      <c r="O19" s="110" t="s">
        <v>158</v>
      </c>
      <c r="P19" s="110" t="s">
        <v>183</v>
      </c>
      <c r="Q19" s="80" t="s">
        <v>160</v>
      </c>
      <c r="R19" s="110"/>
      <c r="S19" s="110"/>
      <c r="T19" s="110"/>
      <c r="U19" s="110" t="s">
        <v>161</v>
      </c>
      <c r="V19" s="110">
        <f>IFERROR(MATCH(U19,'CostModel Coef'!$C$9:$C$13,0),0)</f>
        <v>0</v>
      </c>
      <c r="W19" s="110"/>
      <c r="X19" s="82">
        <f>IF(V19&gt;0,INDEX('CostModel Coef'!$D$9:$D$13,V19)+INDEX('CostModel Coef'!$E$9:$E$13,V19)+INDEX('CostModel Coef'!$G$9:$G$13,V19)*E19,0)</f>
        <v>0</v>
      </c>
      <c r="Y19" s="82">
        <f>IF(V19&gt;0,INDEX('CostModel Coef'!$J$9:$J$13,V19),0)</f>
        <v>0</v>
      </c>
      <c r="Z19" s="112">
        <f>IF(V19&gt;0,INDEX('CostModel Coef'!$M$9:$M$13,V19),0)</f>
        <v>0</v>
      </c>
      <c r="AA19" s="110"/>
      <c r="AB19" s="110"/>
      <c r="AC19" s="44">
        <f t="shared" si="0"/>
        <v>0</v>
      </c>
      <c r="AD19" s="44">
        <f t="shared" si="1"/>
        <v>0</v>
      </c>
      <c r="AE19" s="35">
        <f>IF(V19&gt;0,INDEX('CostModel Coef'!$K$9:$K$13,V19),0)</f>
        <v>0</v>
      </c>
      <c r="AF19" s="35">
        <f>IF(V19&gt;0,INDEX('CostModel Coef'!$L$9:$L$13,V19),0)</f>
        <v>0</v>
      </c>
      <c r="AG19" s="110"/>
      <c r="AH19" s="110"/>
    </row>
    <row r="20" spans="1:34">
      <c r="A20" s="110" t="s">
        <v>184</v>
      </c>
      <c r="B20" s="110" t="s">
        <v>156</v>
      </c>
      <c r="C20" s="110">
        <v>10.6</v>
      </c>
      <c r="D20" s="110">
        <v>11.9</v>
      </c>
      <c r="E20" s="110">
        <v>10</v>
      </c>
      <c r="F20" s="110">
        <v>240</v>
      </c>
      <c r="G20" s="110">
        <v>760</v>
      </c>
      <c r="H20" s="110" t="s">
        <v>157</v>
      </c>
      <c r="I20" s="110">
        <v>0.70799999999999996</v>
      </c>
      <c r="J20" s="110">
        <v>0.28182000000000001</v>
      </c>
      <c r="K20" s="110">
        <v>321.60000000000002</v>
      </c>
      <c r="L20" s="110">
        <v>0.72</v>
      </c>
      <c r="M20" s="110">
        <v>0</v>
      </c>
      <c r="N20" s="110">
        <v>100</v>
      </c>
      <c r="O20" s="110" t="s">
        <v>185</v>
      </c>
      <c r="P20" s="110" t="s">
        <v>186</v>
      </c>
      <c r="Q20" s="80" t="s">
        <v>160</v>
      </c>
      <c r="R20" s="110"/>
      <c r="S20" s="110"/>
      <c r="T20" s="110"/>
      <c r="U20" s="110" t="s">
        <v>16</v>
      </c>
      <c r="V20" s="110">
        <f>IFERROR(MATCH(U20,'CostModel Coef'!$C$9:$C$13,0),0)</f>
        <v>4</v>
      </c>
      <c r="W20" s="110"/>
      <c r="X20" s="82">
        <f>IF(V20&gt;0,INDEX('CostModel Coef'!$D$9:$D$13,V20)+INDEX('CostModel Coef'!$E$9:$E$13,V20)+INDEX('CostModel Coef'!$G$9:$G$13,V20)*E20,0)</f>
        <v>-2081.1854299999977</v>
      </c>
      <c r="Y20" s="82">
        <f>IF(V20&gt;0,INDEX('CostModel Coef'!$J$9:$J$13,V20),0)</f>
        <v>958.56000000000006</v>
      </c>
      <c r="Z20" s="112">
        <f>IF(V20&gt;0,INDEX('CostModel Coef'!$M$9:$M$13,V20),0)</f>
        <v>0.2</v>
      </c>
      <c r="AA20" s="110"/>
      <c r="AB20" s="110"/>
      <c r="AC20" s="44">
        <f t="shared" si="0"/>
        <v>-2497.42</v>
      </c>
      <c r="AD20" s="44">
        <f t="shared" si="1"/>
        <v>1150.27</v>
      </c>
      <c r="AE20" s="35">
        <f>IF(V20&gt;0,INDEX('CostModel Coef'!$K$9:$K$13,V20),0)</f>
        <v>6.916666666666667</v>
      </c>
      <c r="AF20" s="35">
        <f>IF(V20&gt;0,INDEX('CostModel Coef'!$L$9:$L$13,V20),0)</f>
        <v>105.86833333333334</v>
      </c>
      <c r="AG20" s="110"/>
      <c r="AH20" s="81"/>
    </row>
    <row r="21" spans="1:34">
      <c r="A21" s="110" t="s">
        <v>187</v>
      </c>
      <c r="B21" s="110" t="s">
        <v>156</v>
      </c>
      <c r="C21" s="110">
        <v>11.6</v>
      </c>
      <c r="D21" s="110">
        <v>12.8</v>
      </c>
      <c r="E21" s="110">
        <v>10.8</v>
      </c>
      <c r="F21" s="110">
        <v>240</v>
      </c>
      <c r="G21" s="110">
        <v>760</v>
      </c>
      <c r="H21" s="110" t="s">
        <v>157</v>
      </c>
      <c r="I21" s="110">
        <v>0.70499999999999996</v>
      </c>
      <c r="J21" s="110">
        <v>0.25463999999999998</v>
      </c>
      <c r="K21" s="110">
        <v>320.39999999999998</v>
      </c>
      <c r="L21" s="110">
        <v>0.61</v>
      </c>
      <c r="M21" s="110">
        <v>0</v>
      </c>
      <c r="N21" s="110">
        <v>100</v>
      </c>
      <c r="O21" s="110" t="s">
        <v>165</v>
      </c>
      <c r="P21" s="110" t="s">
        <v>188</v>
      </c>
      <c r="Q21" s="80" t="s">
        <v>160</v>
      </c>
      <c r="R21" s="110"/>
      <c r="S21" s="110"/>
      <c r="T21" s="110"/>
      <c r="U21" s="110" t="s">
        <v>16</v>
      </c>
      <c r="V21" s="110">
        <f>IFERROR(MATCH(U21,'CostModel Coef'!$C$9:$C$13,0),0)</f>
        <v>4</v>
      </c>
      <c r="W21" s="110"/>
      <c r="X21" s="82">
        <f>IF(V21&gt;0,INDEX('CostModel Coef'!$D$9:$D$13,V21)+INDEX('CostModel Coef'!$E$9:$E$13,V21)+INDEX('CostModel Coef'!$G$9:$G$13,V21)*E21,0)</f>
        <v>-231.40462999999727</v>
      </c>
      <c r="Y21" s="82">
        <f>IF(V21&gt;0,INDEX('CostModel Coef'!$J$9:$J$13,V21),0)</f>
        <v>958.56000000000006</v>
      </c>
      <c r="Z21" s="112">
        <f>IF(V21&gt;0,INDEX('CostModel Coef'!$M$9:$M$13,V21),0)</f>
        <v>0.2</v>
      </c>
      <c r="AA21" s="110"/>
      <c r="AB21" s="110"/>
      <c r="AC21" s="44">
        <f t="shared" si="0"/>
        <v>-277.69</v>
      </c>
      <c r="AD21" s="44">
        <f t="shared" si="1"/>
        <v>1150.27</v>
      </c>
      <c r="AE21" s="35">
        <f>IF(V21&gt;0,INDEX('CostModel Coef'!$K$9:$K$13,V21),0)</f>
        <v>6.916666666666667</v>
      </c>
      <c r="AF21" s="35">
        <f>IF(V21&gt;0,INDEX('CostModel Coef'!$L$9:$L$13,V21),0)</f>
        <v>105.86833333333334</v>
      </c>
      <c r="AG21" s="110"/>
      <c r="AH21" s="81"/>
    </row>
    <row r="22" spans="1:34">
      <c r="A22" s="110" t="s">
        <v>189</v>
      </c>
      <c r="B22" s="110" t="s">
        <v>156</v>
      </c>
      <c r="C22" s="110">
        <v>11.6</v>
      </c>
      <c r="D22" s="110">
        <v>12.8</v>
      </c>
      <c r="E22" s="110">
        <v>10.8</v>
      </c>
      <c r="F22" s="110">
        <v>240</v>
      </c>
      <c r="G22" s="110">
        <v>760</v>
      </c>
      <c r="H22" s="110" t="s">
        <v>157</v>
      </c>
      <c r="I22" s="110">
        <v>0.70799999999999996</v>
      </c>
      <c r="J22" s="110">
        <v>0.25618999999999997</v>
      </c>
      <c r="K22" s="110">
        <v>321.60000000000002</v>
      </c>
      <c r="L22" s="110">
        <v>0.72</v>
      </c>
      <c r="M22" s="110">
        <v>0</v>
      </c>
      <c r="N22" s="110">
        <v>100</v>
      </c>
      <c r="O22" s="110" t="s">
        <v>185</v>
      </c>
      <c r="P22" s="110" t="s">
        <v>190</v>
      </c>
      <c r="Q22" s="80" t="s">
        <v>160</v>
      </c>
      <c r="R22" s="110"/>
      <c r="S22" s="110"/>
      <c r="T22" s="110"/>
      <c r="U22" s="110" t="s">
        <v>16</v>
      </c>
      <c r="V22" s="110">
        <f>IFERROR(MATCH(U22,'CostModel Coef'!$C$9:$C$13,0),0)</f>
        <v>4</v>
      </c>
      <c r="W22" s="110"/>
      <c r="X22" s="82">
        <f>IF(V22&gt;0,INDEX('CostModel Coef'!$D$9:$D$13,V22)+INDEX('CostModel Coef'!$E$9:$E$13,V22)+INDEX('CostModel Coef'!$G$9:$G$13,V22)*E22,0)</f>
        <v>-231.40462999999727</v>
      </c>
      <c r="Y22" s="82">
        <f>IF(V22&gt;0,INDEX('CostModel Coef'!$J$9:$J$13,V22),0)</f>
        <v>958.56000000000006</v>
      </c>
      <c r="Z22" s="112">
        <f>IF(V22&gt;0,INDEX('CostModel Coef'!$M$9:$M$13,V22),0)</f>
        <v>0.2</v>
      </c>
      <c r="AA22" s="110"/>
      <c r="AB22" s="110"/>
      <c r="AC22" s="44">
        <f t="shared" si="0"/>
        <v>-277.69</v>
      </c>
      <c r="AD22" s="44">
        <f t="shared" si="1"/>
        <v>1150.27</v>
      </c>
      <c r="AE22" s="35">
        <f>IF(V22&gt;0,INDEX('CostModel Coef'!$K$9:$K$13,V22),0)</f>
        <v>6.916666666666667</v>
      </c>
      <c r="AF22" s="35">
        <f>IF(V22&gt;0,INDEX('CostModel Coef'!$L$9:$L$13,V22),0)</f>
        <v>105.86833333333334</v>
      </c>
      <c r="AG22" s="110"/>
      <c r="AH22" s="81"/>
    </row>
    <row r="23" spans="1:34">
      <c r="A23" s="110" t="s">
        <v>191</v>
      </c>
      <c r="B23" s="110" t="s">
        <v>156</v>
      </c>
      <c r="C23" s="110">
        <v>12.4</v>
      </c>
      <c r="D23" s="110">
        <v>13.6</v>
      </c>
      <c r="E23" s="110">
        <v>11.5</v>
      </c>
      <c r="F23" s="110">
        <v>240</v>
      </c>
      <c r="G23" s="110">
        <v>760</v>
      </c>
      <c r="H23" s="110" t="s">
        <v>157</v>
      </c>
      <c r="I23" s="110">
        <v>0.70499999999999996</v>
      </c>
      <c r="J23" s="110">
        <v>0.23585</v>
      </c>
      <c r="K23" s="110">
        <v>320.39999999999998</v>
      </c>
      <c r="L23" s="110">
        <v>0.61</v>
      </c>
      <c r="M23" s="110">
        <v>0</v>
      </c>
      <c r="N23" s="110">
        <v>100</v>
      </c>
      <c r="O23" s="110" t="s">
        <v>165</v>
      </c>
      <c r="P23" s="110" t="s">
        <v>192</v>
      </c>
      <c r="Q23" s="80" t="s">
        <v>160</v>
      </c>
      <c r="R23" s="110"/>
      <c r="S23" s="110"/>
      <c r="T23" s="110"/>
      <c r="U23" s="110" t="s">
        <v>16</v>
      </c>
      <c r="V23" s="110">
        <f>IFERROR(MATCH(U23,'CostModel Coef'!$C$9:$C$13,0),0)</f>
        <v>4</v>
      </c>
      <c r="W23" s="110"/>
      <c r="X23" s="82">
        <f>IF(V23&gt;0,INDEX('CostModel Coef'!$D$9:$D$13,V23)+INDEX('CostModel Coef'!$E$9:$E$13,V23)+INDEX('CostModel Coef'!$G$9:$G$13,V23)*E23,0)</f>
        <v>1387.1535700000022</v>
      </c>
      <c r="Y23" s="82">
        <f>IF(V23&gt;0,INDEX('CostModel Coef'!$J$9:$J$13,V23),0)</f>
        <v>958.56000000000006</v>
      </c>
      <c r="Z23" s="112">
        <f>IF(V23&gt;0,INDEX('CostModel Coef'!$M$9:$M$13,V23),0)</f>
        <v>0.2</v>
      </c>
      <c r="AA23" s="110"/>
      <c r="AB23" s="110"/>
      <c r="AC23" s="44">
        <f t="shared" si="0"/>
        <v>1664.58</v>
      </c>
      <c r="AD23" s="44">
        <f t="shared" si="1"/>
        <v>1150.27</v>
      </c>
      <c r="AE23" s="35">
        <f>IF(V23&gt;0,INDEX('CostModel Coef'!$K$9:$K$13,V23),0)</f>
        <v>6.916666666666667</v>
      </c>
      <c r="AF23" s="35">
        <f>IF(V23&gt;0,INDEX('CostModel Coef'!$L$9:$L$13,V23),0)</f>
        <v>105.86833333333334</v>
      </c>
      <c r="AG23" s="110"/>
      <c r="AH23" s="81"/>
    </row>
    <row r="24" spans="1:34">
      <c r="A24" s="110" t="s">
        <v>193</v>
      </c>
      <c r="B24" s="110" t="s">
        <v>156</v>
      </c>
      <c r="C24" s="110">
        <v>12.4</v>
      </c>
      <c r="D24" s="110">
        <v>13.6</v>
      </c>
      <c r="E24" s="110">
        <v>11.5</v>
      </c>
      <c r="F24" s="110">
        <v>240</v>
      </c>
      <c r="G24" s="110">
        <v>760</v>
      </c>
      <c r="H24" s="110" t="s">
        <v>157</v>
      </c>
      <c r="I24" s="110">
        <v>0.70799999999999996</v>
      </c>
      <c r="J24" s="110">
        <v>0.23663000000000001</v>
      </c>
      <c r="K24" s="110">
        <v>321.60000000000002</v>
      </c>
      <c r="L24" s="110">
        <v>0.72</v>
      </c>
      <c r="M24" s="110">
        <v>0</v>
      </c>
      <c r="N24" s="110">
        <v>100</v>
      </c>
      <c r="O24" s="110" t="s">
        <v>185</v>
      </c>
      <c r="P24" s="110" t="s">
        <v>194</v>
      </c>
      <c r="Q24" s="80" t="s">
        <v>160</v>
      </c>
      <c r="R24" s="110"/>
      <c r="S24" s="110"/>
      <c r="T24" s="110"/>
      <c r="U24" s="110" t="s">
        <v>161</v>
      </c>
      <c r="V24" s="110">
        <f>IFERROR(MATCH(U24,'CostModel Coef'!$C$9:$C$13,0),0)</f>
        <v>0</v>
      </c>
      <c r="W24" s="110"/>
      <c r="X24" s="82">
        <f>IF(V24&gt;0,INDEX('CostModel Coef'!$D$9:$D$13,V24)+INDEX('CostModel Coef'!$E$9:$E$13,V24)+INDEX('CostModel Coef'!$G$9:$G$13,V24)*E24,0)</f>
        <v>0</v>
      </c>
      <c r="Y24" s="82">
        <f>IF(V24&gt;0,INDEX('CostModel Coef'!$J$9:$J$13,V24),0)</f>
        <v>0</v>
      </c>
      <c r="Z24" s="112">
        <f>IF(V24&gt;0,INDEX('CostModel Coef'!$M$9:$M$13,V24),0)</f>
        <v>0</v>
      </c>
      <c r="AA24" s="110"/>
      <c r="AB24" s="110"/>
      <c r="AC24" s="44">
        <f t="shared" si="0"/>
        <v>0</v>
      </c>
      <c r="AD24" s="44">
        <f t="shared" si="1"/>
        <v>0</v>
      </c>
      <c r="AE24" s="35">
        <f>IF(V24&gt;0,INDEX('CostModel Coef'!$K$9:$K$13,V24),0)</f>
        <v>0</v>
      </c>
      <c r="AF24" s="35">
        <f>IF(V24&gt;0,INDEX('CostModel Coef'!$L$9:$L$13,V24),0)</f>
        <v>0</v>
      </c>
      <c r="AG24" s="110"/>
      <c r="AH24" s="110"/>
    </row>
    <row r="25" spans="1:34">
      <c r="A25" s="110" t="s">
        <v>195</v>
      </c>
      <c r="B25" s="110" t="s">
        <v>156</v>
      </c>
      <c r="C25" s="110">
        <v>13.6</v>
      </c>
      <c r="D25" s="110">
        <v>14.8</v>
      </c>
      <c r="E25" s="110">
        <v>12.5</v>
      </c>
      <c r="F25" s="110">
        <v>240</v>
      </c>
      <c r="G25" s="110">
        <v>760</v>
      </c>
      <c r="H25" s="110" t="s">
        <v>157</v>
      </c>
      <c r="I25" s="110">
        <v>0.70499999999999996</v>
      </c>
      <c r="J25" s="110">
        <v>0.21257000000000001</v>
      </c>
      <c r="K25" s="110">
        <v>320.39999999999998</v>
      </c>
      <c r="L25" s="110">
        <v>0.61</v>
      </c>
      <c r="M25" s="110">
        <v>0</v>
      </c>
      <c r="N25" s="110">
        <v>100</v>
      </c>
      <c r="O25" s="110" t="s">
        <v>165</v>
      </c>
      <c r="P25" s="110" t="s">
        <v>196</v>
      </c>
      <c r="Q25" s="80" t="s">
        <v>160</v>
      </c>
      <c r="R25" s="110"/>
      <c r="S25" s="110"/>
      <c r="T25" s="110"/>
      <c r="U25" s="110" t="s">
        <v>16</v>
      </c>
      <c r="V25" s="110">
        <f>IFERROR(MATCH(U25,'CostModel Coef'!$C$9:$C$13,0),0)</f>
        <v>4</v>
      </c>
      <c r="W25" s="110"/>
      <c r="X25" s="82">
        <f>IF(V25&gt;0,INDEX('CostModel Coef'!$D$9:$D$13,V25)+INDEX('CostModel Coef'!$E$9:$E$13,V25)+INDEX('CostModel Coef'!$G$9:$G$13,V25)*E25,0)</f>
        <v>3699.379570000001</v>
      </c>
      <c r="Y25" s="82">
        <f>IF(V25&gt;0,INDEX('CostModel Coef'!$J$9:$J$13,V25),0)</f>
        <v>958.56000000000006</v>
      </c>
      <c r="Z25" s="112">
        <f>IF(V25&gt;0,INDEX('CostModel Coef'!$M$9:$M$13,V25),0)</f>
        <v>0.2</v>
      </c>
      <c r="AA25" s="110"/>
      <c r="AB25" s="110"/>
      <c r="AC25" s="44">
        <f t="shared" si="0"/>
        <v>4439.26</v>
      </c>
      <c r="AD25" s="44">
        <f t="shared" si="1"/>
        <v>1150.27</v>
      </c>
      <c r="AE25" s="35">
        <f>IF(V25&gt;0,INDEX('CostModel Coef'!$K$9:$K$13,V25),0)</f>
        <v>6.916666666666667</v>
      </c>
      <c r="AF25" s="35">
        <f>IF(V25&gt;0,INDEX('CostModel Coef'!$L$9:$L$13,V25),0)</f>
        <v>105.86833333333334</v>
      </c>
      <c r="AG25" s="110"/>
      <c r="AH25" s="110"/>
    </row>
    <row r="26" spans="1:34">
      <c r="A26" s="110" t="s">
        <v>197</v>
      </c>
      <c r="B26" s="110" t="s">
        <v>156</v>
      </c>
      <c r="C26" s="110">
        <v>13.6</v>
      </c>
      <c r="D26" s="110">
        <v>14.8</v>
      </c>
      <c r="E26" s="110">
        <v>12.5</v>
      </c>
      <c r="F26" s="110">
        <v>240</v>
      </c>
      <c r="G26" s="110">
        <v>760</v>
      </c>
      <c r="H26" s="110" t="s">
        <v>157</v>
      </c>
      <c r="I26" s="110">
        <v>0.70799999999999996</v>
      </c>
      <c r="J26" s="110">
        <v>0.21235000000000001</v>
      </c>
      <c r="K26" s="110">
        <v>321.60000000000002</v>
      </c>
      <c r="L26" s="110">
        <v>0.72</v>
      </c>
      <c r="M26" s="110">
        <v>0</v>
      </c>
      <c r="N26" s="110">
        <v>100</v>
      </c>
      <c r="O26" s="110" t="s">
        <v>185</v>
      </c>
      <c r="P26" s="110" t="s">
        <v>198</v>
      </c>
      <c r="Q26" s="80" t="s">
        <v>160</v>
      </c>
      <c r="R26" s="110"/>
      <c r="S26" s="110"/>
      <c r="T26" s="110"/>
      <c r="U26" s="110" t="s">
        <v>161</v>
      </c>
      <c r="V26" s="110">
        <f>IFERROR(MATCH(U26,'CostModel Coef'!$C$9:$C$13,0),0)</f>
        <v>0</v>
      </c>
      <c r="W26" s="110"/>
      <c r="X26" s="82">
        <f>IF(V26&gt;0,INDEX('CostModel Coef'!$D$9:$D$13,V26)+INDEX('CostModel Coef'!$E$9:$E$13,V26)+INDEX('CostModel Coef'!$G$9:$G$13,V26)*E26,0)</f>
        <v>0</v>
      </c>
      <c r="Y26" s="82">
        <f>IF(V26&gt;0,INDEX('CostModel Coef'!$J$9:$J$13,V26),0)</f>
        <v>0</v>
      </c>
      <c r="Z26" s="112">
        <f>IF(V26&gt;0,INDEX('CostModel Coef'!$M$9:$M$13,V26),0)</f>
        <v>0</v>
      </c>
      <c r="AA26" s="110"/>
      <c r="AB26" s="110"/>
      <c r="AC26" s="44">
        <f t="shared" si="0"/>
        <v>0</v>
      </c>
      <c r="AD26" s="44">
        <f t="shared" si="1"/>
        <v>0</v>
      </c>
      <c r="AE26" s="35">
        <f>IF(V26&gt;0,INDEX('CostModel Coef'!$K$9:$K$13,V26),0)</f>
        <v>0</v>
      </c>
      <c r="AF26" s="35">
        <f>IF(V26&gt;0,INDEX('CostModel Coef'!$L$9:$L$13,V26),0)</f>
        <v>0</v>
      </c>
      <c r="AG26" s="110"/>
      <c r="AH26" s="110"/>
    </row>
    <row r="27" spans="1:34">
      <c r="A27" s="110" t="s">
        <v>199</v>
      </c>
      <c r="B27" s="110" t="s">
        <v>156</v>
      </c>
      <c r="C27" s="110">
        <v>11.1</v>
      </c>
      <c r="D27" s="110">
        <v>11.1</v>
      </c>
      <c r="E27" s="110">
        <v>9.3000000000000007</v>
      </c>
      <c r="F27" s="110">
        <v>240</v>
      </c>
      <c r="G27" s="110">
        <v>760</v>
      </c>
      <c r="H27" s="110" t="s">
        <v>157</v>
      </c>
      <c r="I27" s="110"/>
      <c r="J27" s="110"/>
      <c r="K27" s="110"/>
      <c r="L27" s="110">
        <v>0.61</v>
      </c>
      <c r="M27" s="110">
        <v>0</v>
      </c>
      <c r="N27" s="110">
        <v>100</v>
      </c>
      <c r="O27" s="110" t="s">
        <v>158</v>
      </c>
      <c r="P27" s="110" t="s">
        <v>200</v>
      </c>
      <c r="Q27" s="80" t="s">
        <v>160</v>
      </c>
      <c r="R27" s="110"/>
      <c r="S27" s="110"/>
      <c r="T27" s="110"/>
      <c r="U27" s="110" t="s">
        <v>161</v>
      </c>
      <c r="V27" s="110">
        <f>IFERROR(MATCH(U27,'CostModel Coef'!$C$9:$C$13,0),0)</f>
        <v>0</v>
      </c>
      <c r="W27" s="110"/>
      <c r="X27" s="82">
        <f>IF(V27&gt;0,INDEX('CostModel Coef'!$D$9:$D$13,V27)+INDEX('CostModel Coef'!$E$9:$E$13,V27)+INDEX('CostModel Coef'!$G$9:$G$13,V27)*E27,0)</f>
        <v>0</v>
      </c>
      <c r="Y27" s="82">
        <f>IF(V27&gt;0,INDEX('CostModel Coef'!$J$9:$J$13,V27),0)</f>
        <v>0</v>
      </c>
      <c r="Z27" s="112">
        <f>IF(V27&gt;0,INDEX('CostModel Coef'!$M$9:$M$13,V27),0)</f>
        <v>0</v>
      </c>
      <c r="AA27" s="110"/>
      <c r="AB27" s="110"/>
      <c r="AC27" s="44">
        <f t="shared" si="0"/>
        <v>0</v>
      </c>
      <c r="AD27" s="44">
        <f t="shared" si="1"/>
        <v>0</v>
      </c>
      <c r="AE27" s="35">
        <f>IF(V27&gt;0,INDEX('CostModel Coef'!$K$9:$K$13,V27),0)</f>
        <v>0</v>
      </c>
      <c r="AF27" s="35">
        <f>IF(V27&gt;0,INDEX('CostModel Coef'!$L$9:$L$13,V27),0)</f>
        <v>0</v>
      </c>
      <c r="AG27" s="110"/>
      <c r="AH27" s="110"/>
    </row>
    <row r="28" spans="1:34">
      <c r="A28" s="110" t="s">
        <v>201</v>
      </c>
      <c r="B28" s="110" t="s">
        <v>156</v>
      </c>
      <c r="C28" s="110">
        <v>11.3</v>
      </c>
      <c r="D28" s="110">
        <v>11.3</v>
      </c>
      <c r="E28" s="110">
        <v>9.5</v>
      </c>
      <c r="F28" s="110">
        <v>240</v>
      </c>
      <c r="G28" s="110">
        <v>760</v>
      </c>
      <c r="H28" s="110" t="s">
        <v>157</v>
      </c>
      <c r="I28" s="110"/>
      <c r="J28" s="110"/>
      <c r="K28" s="110"/>
      <c r="L28" s="110">
        <v>0.72</v>
      </c>
      <c r="M28" s="110">
        <v>0</v>
      </c>
      <c r="N28" s="110">
        <v>100</v>
      </c>
      <c r="O28" s="110" t="s">
        <v>185</v>
      </c>
      <c r="P28" s="110" t="s">
        <v>202</v>
      </c>
      <c r="Q28" s="80" t="s">
        <v>160</v>
      </c>
      <c r="R28" s="110"/>
      <c r="S28" s="110"/>
      <c r="T28" s="110"/>
      <c r="U28" s="110" t="s">
        <v>161</v>
      </c>
      <c r="V28" s="110">
        <f>IFERROR(MATCH(U28,'CostModel Coef'!$C$9:$C$13,0),0)</f>
        <v>0</v>
      </c>
      <c r="W28" s="110"/>
      <c r="X28" s="82">
        <f>IF(V28&gt;0,INDEX('CostModel Coef'!$D$9:$D$13,V28)+INDEX('CostModel Coef'!$E$9:$E$13,V28)+INDEX('CostModel Coef'!$G$9:$G$13,V28)*E28,0)</f>
        <v>0</v>
      </c>
      <c r="Y28" s="82">
        <f>IF(V28&gt;0,INDEX('CostModel Coef'!$J$9:$J$13,V28),0)</f>
        <v>0</v>
      </c>
      <c r="Z28" s="112">
        <f>IF(V28&gt;0,INDEX('CostModel Coef'!$M$9:$M$13,V28),0)</f>
        <v>0</v>
      </c>
      <c r="AA28" s="110"/>
      <c r="AB28" s="110"/>
      <c r="AC28" s="44">
        <f t="shared" si="0"/>
        <v>0</v>
      </c>
      <c r="AD28" s="44">
        <f t="shared" si="1"/>
        <v>0</v>
      </c>
      <c r="AE28" s="35">
        <f>IF(V28&gt;0,INDEX('CostModel Coef'!$K$9:$K$13,V28),0)</f>
        <v>0</v>
      </c>
      <c r="AF28" s="35">
        <f>IF(V28&gt;0,INDEX('CostModel Coef'!$L$9:$L$13,V28),0)</f>
        <v>0</v>
      </c>
      <c r="AG28" s="110"/>
      <c r="AH28" s="110"/>
    </row>
    <row r="29" spans="1:34">
      <c r="A29" s="110" t="s">
        <v>203</v>
      </c>
      <c r="B29" s="110" t="s">
        <v>156</v>
      </c>
      <c r="C29" s="110">
        <v>11.7</v>
      </c>
      <c r="D29" s="110">
        <v>11.7</v>
      </c>
      <c r="E29" s="110">
        <v>9.8000000000000007</v>
      </c>
      <c r="F29" s="110">
        <v>240</v>
      </c>
      <c r="G29" s="110">
        <v>760</v>
      </c>
      <c r="H29" s="110" t="s">
        <v>157</v>
      </c>
      <c r="I29" s="110"/>
      <c r="J29" s="110"/>
      <c r="K29" s="110"/>
      <c r="L29" s="110">
        <v>0.61</v>
      </c>
      <c r="M29" s="110">
        <v>0</v>
      </c>
      <c r="N29" s="110">
        <v>100</v>
      </c>
      <c r="O29" s="110" t="s">
        <v>158</v>
      </c>
      <c r="P29" s="110" t="s">
        <v>204</v>
      </c>
      <c r="Q29" s="80" t="s">
        <v>160</v>
      </c>
      <c r="R29" s="110"/>
      <c r="S29" s="110"/>
      <c r="T29" s="110"/>
      <c r="U29" s="110" t="s">
        <v>161</v>
      </c>
      <c r="V29" s="110">
        <f>IFERROR(MATCH(U29,'CostModel Coef'!$C$9:$C$13,0),0)</f>
        <v>0</v>
      </c>
      <c r="W29" s="110"/>
      <c r="X29" s="82">
        <f>IF(V29&gt;0,INDEX('CostModel Coef'!$D$9:$D$13,V29)+INDEX('CostModel Coef'!$E$9:$E$13,V29)+INDEX('CostModel Coef'!$G$9:$G$13,V29)*E29,0)</f>
        <v>0</v>
      </c>
      <c r="Y29" s="82">
        <f>IF(V29&gt;0,INDEX('CostModel Coef'!$J$9:$J$13,V29),0)</f>
        <v>0</v>
      </c>
      <c r="Z29" s="112">
        <f>IF(V29&gt;0,INDEX('CostModel Coef'!$M$9:$M$13,V29),0)</f>
        <v>0</v>
      </c>
      <c r="AA29" s="110"/>
      <c r="AB29" s="110"/>
      <c r="AC29" s="44">
        <f t="shared" si="0"/>
        <v>0</v>
      </c>
      <c r="AD29" s="44">
        <f t="shared" si="1"/>
        <v>0</v>
      </c>
      <c r="AE29" s="35">
        <f>IF(V29&gt;0,INDEX('CostModel Coef'!$K$9:$K$13,V29),0)</f>
        <v>0</v>
      </c>
      <c r="AF29" s="35">
        <f>IF(V29&gt;0,INDEX('CostModel Coef'!$L$9:$L$13,V29),0)</f>
        <v>0</v>
      </c>
      <c r="AG29" s="110"/>
      <c r="AH29" s="110"/>
    </row>
    <row r="30" spans="1:34">
      <c r="A30" s="110" t="s">
        <v>205</v>
      </c>
      <c r="B30" s="110" t="s">
        <v>156</v>
      </c>
      <c r="C30" s="110">
        <v>10.4</v>
      </c>
      <c r="D30" s="110">
        <v>11.7</v>
      </c>
      <c r="E30" s="110">
        <v>9.8000000000000007</v>
      </c>
      <c r="F30" s="110">
        <v>240</v>
      </c>
      <c r="G30" s="110">
        <v>760</v>
      </c>
      <c r="H30" s="110" t="s">
        <v>157</v>
      </c>
      <c r="I30" s="110">
        <v>0.70499999999999996</v>
      </c>
      <c r="J30" s="110">
        <v>0.28621999999999997</v>
      </c>
      <c r="K30" s="110">
        <v>320.39999999999998</v>
      </c>
      <c r="L30" s="110">
        <v>0.61</v>
      </c>
      <c r="M30" s="110">
        <v>0</v>
      </c>
      <c r="N30" s="110">
        <v>100</v>
      </c>
      <c r="O30" s="110" t="s">
        <v>165</v>
      </c>
      <c r="P30" s="110" t="s">
        <v>206</v>
      </c>
      <c r="Q30" s="80" t="s">
        <v>160</v>
      </c>
      <c r="R30" s="110"/>
      <c r="S30" s="110"/>
      <c r="T30" s="110"/>
      <c r="U30" s="110" t="s">
        <v>16</v>
      </c>
      <c r="V30" s="110">
        <f>IFERROR(MATCH(U30,'CostModel Coef'!$C$9:$C$13,0),0)</f>
        <v>4</v>
      </c>
      <c r="W30" s="110"/>
      <c r="X30" s="82">
        <f>IF(V30&gt;0,INDEX('CostModel Coef'!$D$9:$D$13,V30)+INDEX('CostModel Coef'!$E$9:$E$13,V30)+INDEX('CostModel Coef'!$G$9:$G$13,V30)*E30,0)</f>
        <v>-2543.630629999996</v>
      </c>
      <c r="Y30" s="82">
        <f>IF(V30&gt;0,INDEX('CostModel Coef'!$J$9:$J$13,V30),0)</f>
        <v>958.56000000000006</v>
      </c>
      <c r="Z30" s="112">
        <f>IF(V30&gt;0,INDEX('CostModel Coef'!$M$9:$M$13,V30),0)</f>
        <v>0.2</v>
      </c>
      <c r="AA30" s="110"/>
      <c r="AB30" s="110"/>
      <c r="AC30" s="44">
        <f t="shared" si="0"/>
        <v>-3052.36</v>
      </c>
      <c r="AD30" s="44">
        <f t="shared" si="1"/>
        <v>1150.27</v>
      </c>
      <c r="AE30" s="35">
        <f>IF(V30&gt;0,INDEX('CostModel Coef'!$K$9:$K$13,V30),0)</f>
        <v>6.916666666666667</v>
      </c>
      <c r="AF30" s="35">
        <f>IF(V30&gt;0,INDEX('CostModel Coef'!$L$9:$L$13,V30),0)</f>
        <v>105.86833333333334</v>
      </c>
      <c r="AG30" s="110"/>
      <c r="AH30" s="110"/>
    </row>
    <row r="31" spans="1:34">
      <c r="A31" s="110" t="s">
        <v>207</v>
      </c>
      <c r="B31" s="110" t="s">
        <v>156</v>
      </c>
      <c r="C31" s="110">
        <v>10.6</v>
      </c>
      <c r="D31" s="110">
        <v>13.6</v>
      </c>
      <c r="E31" s="110">
        <v>10.1</v>
      </c>
      <c r="F31" s="110">
        <v>65</v>
      </c>
      <c r="G31" s="110">
        <v>110</v>
      </c>
      <c r="H31" s="110" t="s">
        <v>157</v>
      </c>
      <c r="I31" s="110"/>
      <c r="J31" s="110"/>
      <c r="K31" s="110"/>
      <c r="L31" s="110">
        <v>0.4</v>
      </c>
      <c r="M31" s="110">
        <v>0</v>
      </c>
      <c r="N31" s="110">
        <v>100</v>
      </c>
      <c r="O31" s="110" t="s">
        <v>158</v>
      </c>
      <c r="P31" s="110" t="s">
        <v>208</v>
      </c>
      <c r="Q31" s="80" t="s">
        <v>160</v>
      </c>
      <c r="R31" s="110"/>
      <c r="S31" s="110"/>
      <c r="T31" s="110"/>
      <c r="U31" s="110" t="s">
        <v>161</v>
      </c>
      <c r="V31" s="110">
        <f>IFERROR(MATCH(U31,'CostModel Coef'!$C$9:$C$13,0),0)</f>
        <v>0</v>
      </c>
      <c r="W31" s="110"/>
      <c r="X31" s="82">
        <f>IF(V31&gt;0,INDEX('CostModel Coef'!$D$9:$D$13,V31)+INDEX('CostModel Coef'!$E$9:$E$13,V31)+INDEX('CostModel Coef'!$G$9:$G$13,V31)*E31,0)</f>
        <v>0</v>
      </c>
      <c r="Y31" s="82">
        <f>IF(V31&gt;0,INDEX('CostModel Coef'!$J$9:$J$13,V31),0)</f>
        <v>0</v>
      </c>
      <c r="Z31" s="112">
        <f>IF(V31&gt;0,INDEX('CostModel Coef'!$M$9:$M$13,V31),0)</f>
        <v>0</v>
      </c>
      <c r="AA31" s="110"/>
      <c r="AB31" s="110"/>
      <c r="AC31" s="44">
        <f t="shared" si="0"/>
        <v>0</v>
      </c>
      <c r="AD31" s="44">
        <f t="shared" si="1"/>
        <v>0</v>
      </c>
      <c r="AE31" s="35">
        <f>IF(V31&gt;0,INDEX('CostModel Coef'!$K$9:$K$13,V31),0)</f>
        <v>0</v>
      </c>
      <c r="AF31" s="35">
        <f>IF(V31&gt;0,INDEX('CostModel Coef'!$L$9:$L$13,V31),0)</f>
        <v>0</v>
      </c>
      <c r="AG31" s="110"/>
      <c r="AH31" s="110"/>
    </row>
    <row r="32" spans="1:34">
      <c r="A32" s="110" t="s">
        <v>209</v>
      </c>
      <c r="B32" s="110" t="s">
        <v>156</v>
      </c>
      <c r="C32" s="110">
        <v>11.6</v>
      </c>
      <c r="D32" s="110">
        <v>14.1</v>
      </c>
      <c r="E32" s="110">
        <v>11</v>
      </c>
      <c r="F32" s="110">
        <v>65</v>
      </c>
      <c r="G32" s="110">
        <v>110</v>
      </c>
      <c r="H32" s="110" t="s">
        <v>157</v>
      </c>
      <c r="I32" s="110"/>
      <c r="J32" s="110"/>
      <c r="K32" s="110"/>
      <c r="L32" s="110">
        <v>0.4</v>
      </c>
      <c r="M32" s="110">
        <v>0</v>
      </c>
      <c r="N32" s="110">
        <v>100</v>
      </c>
      <c r="O32" s="110" t="s">
        <v>158</v>
      </c>
      <c r="P32" s="110" t="s">
        <v>210</v>
      </c>
      <c r="Q32" s="80" t="s">
        <v>160</v>
      </c>
      <c r="R32" s="110"/>
      <c r="S32" s="110"/>
      <c r="T32" s="110"/>
      <c r="U32" s="110" t="s">
        <v>161</v>
      </c>
      <c r="V32" s="110">
        <f>IFERROR(MATCH(U32,'CostModel Coef'!$C$9:$C$13,0),0)</f>
        <v>0</v>
      </c>
      <c r="W32" s="110"/>
      <c r="X32" s="82">
        <f>IF(V32&gt;0,INDEX('CostModel Coef'!$D$9:$D$13,V32)+INDEX('CostModel Coef'!$E$9:$E$13,V32)+INDEX('CostModel Coef'!$G$9:$G$13,V32)*E32,0)</f>
        <v>0</v>
      </c>
      <c r="Y32" s="82">
        <f>IF(V32&gt;0,INDEX('CostModel Coef'!$J$9:$J$13,V32),0)</f>
        <v>0</v>
      </c>
      <c r="Z32" s="112">
        <f>IF(V32&gt;0,INDEX('CostModel Coef'!$M$9:$M$13,V32),0)</f>
        <v>0</v>
      </c>
      <c r="AA32" s="110"/>
      <c r="AB32" s="110"/>
      <c r="AC32" s="44">
        <f t="shared" si="0"/>
        <v>0</v>
      </c>
      <c r="AD32" s="44">
        <f t="shared" si="1"/>
        <v>0</v>
      </c>
      <c r="AE32" s="35">
        <f>IF(V32&gt;0,INDEX('CostModel Coef'!$K$9:$K$13,V32),0)</f>
        <v>0</v>
      </c>
      <c r="AF32" s="35">
        <f>IF(V32&gt;0,INDEX('CostModel Coef'!$L$9:$L$13,V32),0)</f>
        <v>0</v>
      </c>
      <c r="AG32" s="110"/>
      <c r="AH32" s="110"/>
    </row>
    <row r="33" spans="1:34">
      <c r="A33" s="110" t="s">
        <v>211</v>
      </c>
      <c r="B33" s="110" t="s">
        <v>156</v>
      </c>
      <c r="C33" s="110">
        <v>11.6</v>
      </c>
      <c r="D33" s="110">
        <v>14.1</v>
      </c>
      <c r="E33" s="110">
        <v>11</v>
      </c>
      <c r="F33" s="110">
        <v>65</v>
      </c>
      <c r="G33" s="110">
        <v>110</v>
      </c>
      <c r="H33" s="110" t="s">
        <v>157</v>
      </c>
      <c r="I33" s="110">
        <v>0.66300000000000003</v>
      </c>
      <c r="J33" s="110">
        <v>0.27299000000000001</v>
      </c>
      <c r="K33" s="110">
        <v>318</v>
      </c>
      <c r="L33" s="110">
        <v>0.4</v>
      </c>
      <c r="M33" s="110">
        <v>0</v>
      </c>
      <c r="N33" s="110">
        <v>100</v>
      </c>
      <c r="O33" s="110" t="s">
        <v>165</v>
      </c>
      <c r="P33" s="110" t="s">
        <v>212</v>
      </c>
      <c r="Q33" s="80" t="s">
        <v>160</v>
      </c>
      <c r="R33" s="110"/>
      <c r="S33" s="110"/>
      <c r="T33" s="110"/>
      <c r="U33" s="110" t="s">
        <v>16</v>
      </c>
      <c r="V33" s="110">
        <f>IFERROR(MATCH(U33,'CostModel Coef'!$C$9:$C$13,0),0)</f>
        <v>4</v>
      </c>
      <c r="W33" s="110"/>
      <c r="X33" s="82">
        <f>IF(V33&gt;0,INDEX('CostModel Coef'!$D$9:$D$13,V33)+INDEX('CostModel Coef'!$E$9:$E$13,V33)+INDEX('CostModel Coef'!$G$9:$G$13,V33)*E33,0)</f>
        <v>231.04057000000103</v>
      </c>
      <c r="Y33" s="82">
        <f>IF(V33&gt;0,INDEX('CostModel Coef'!$J$9:$J$13,V33),0)</f>
        <v>958.56000000000006</v>
      </c>
      <c r="Z33" s="112">
        <f>IF(V33&gt;0,INDEX('CostModel Coef'!$M$9:$M$13,V33),0)</f>
        <v>0.2</v>
      </c>
      <c r="AA33" s="110"/>
      <c r="AB33" s="110"/>
      <c r="AC33" s="44">
        <f t="shared" si="0"/>
        <v>277.25</v>
      </c>
      <c r="AD33" s="44">
        <f t="shared" si="1"/>
        <v>1150.27</v>
      </c>
      <c r="AE33" s="35">
        <f>IF(V33&gt;0,INDEX('CostModel Coef'!$K$9:$K$13,V33),0)</f>
        <v>6.916666666666667</v>
      </c>
      <c r="AF33" s="35">
        <f>IF(V33&gt;0,INDEX('CostModel Coef'!$L$9:$L$13,V33),0)</f>
        <v>105.86833333333334</v>
      </c>
      <c r="AG33" s="110"/>
      <c r="AH33" s="110"/>
    </row>
    <row r="34" spans="1:34">
      <c r="A34" s="110" t="s">
        <v>213</v>
      </c>
      <c r="B34" s="110" t="s">
        <v>156</v>
      </c>
      <c r="C34" s="110">
        <v>12.2</v>
      </c>
      <c r="D34" s="110">
        <v>14.3</v>
      </c>
      <c r="E34" s="110">
        <v>11.5</v>
      </c>
      <c r="F34" s="110">
        <v>65</v>
      </c>
      <c r="G34" s="110">
        <v>110</v>
      </c>
      <c r="H34" s="110" t="s">
        <v>157</v>
      </c>
      <c r="I34" s="110">
        <v>0.66300000000000003</v>
      </c>
      <c r="J34" s="110">
        <v>0.25963999999999998</v>
      </c>
      <c r="K34" s="110">
        <v>318</v>
      </c>
      <c r="L34" s="110">
        <v>0.4</v>
      </c>
      <c r="M34" s="110">
        <v>0</v>
      </c>
      <c r="N34" s="110">
        <v>100</v>
      </c>
      <c r="O34" s="110" t="s">
        <v>165</v>
      </c>
      <c r="P34" s="110" t="s">
        <v>214</v>
      </c>
      <c r="Q34" s="80" t="s">
        <v>160</v>
      </c>
      <c r="R34" s="110"/>
      <c r="S34" s="110"/>
      <c r="T34" s="110"/>
      <c r="U34" s="110" t="s">
        <v>16</v>
      </c>
      <c r="V34" s="110">
        <f>IFERROR(MATCH(U34,'CostModel Coef'!$C$9:$C$13,0),0)</f>
        <v>4</v>
      </c>
      <c r="W34" s="110"/>
      <c r="X34" s="82">
        <f>IF(V34&gt;0,INDEX('CostModel Coef'!$D$9:$D$13,V34)+INDEX('CostModel Coef'!$E$9:$E$13,V34)+INDEX('CostModel Coef'!$G$9:$G$13,V34)*E34,0)</f>
        <v>1387.1535700000022</v>
      </c>
      <c r="Y34" s="82">
        <f>IF(V34&gt;0,INDEX('CostModel Coef'!$J$9:$J$13,V34),0)</f>
        <v>958.56000000000006</v>
      </c>
      <c r="Z34" s="112">
        <f>IF(V34&gt;0,INDEX('CostModel Coef'!$M$9:$M$13,V34),0)</f>
        <v>0.2</v>
      </c>
      <c r="AA34" s="110"/>
      <c r="AB34" s="110"/>
      <c r="AC34" s="44">
        <f t="shared" si="0"/>
        <v>1664.58</v>
      </c>
      <c r="AD34" s="44">
        <f t="shared" si="1"/>
        <v>1150.27</v>
      </c>
      <c r="AE34" s="35">
        <f>IF(V34&gt;0,INDEX('CostModel Coef'!$K$9:$K$13,V34),0)</f>
        <v>6.916666666666667</v>
      </c>
      <c r="AF34" s="35">
        <f>IF(V34&gt;0,INDEX('CostModel Coef'!$L$9:$L$13,V34),0)</f>
        <v>105.86833333333334</v>
      </c>
      <c r="AG34" s="110"/>
      <c r="AH34" s="110"/>
    </row>
    <row r="35" spans="1:34">
      <c r="A35" s="110" t="s">
        <v>215</v>
      </c>
      <c r="B35" s="110" t="s">
        <v>156</v>
      </c>
      <c r="C35" s="110">
        <v>12.8</v>
      </c>
      <c r="D35" s="110">
        <v>14.6</v>
      </c>
      <c r="E35" s="110">
        <v>12</v>
      </c>
      <c r="F35" s="110">
        <v>65</v>
      </c>
      <c r="G35" s="110">
        <v>110</v>
      </c>
      <c r="H35" s="110" t="s">
        <v>157</v>
      </c>
      <c r="I35" s="110">
        <v>0.66300000000000003</v>
      </c>
      <c r="J35" s="110">
        <v>0.24715999999999999</v>
      </c>
      <c r="K35" s="110">
        <v>318</v>
      </c>
      <c r="L35" s="110">
        <v>0.4</v>
      </c>
      <c r="M35" s="110">
        <v>0</v>
      </c>
      <c r="N35" s="110">
        <v>100</v>
      </c>
      <c r="O35" s="110" t="s">
        <v>165</v>
      </c>
      <c r="P35" s="110" t="s">
        <v>216</v>
      </c>
      <c r="Q35" s="80" t="s">
        <v>160</v>
      </c>
      <c r="R35" s="110"/>
      <c r="S35" s="110"/>
      <c r="T35" s="110"/>
      <c r="U35" s="110" t="s">
        <v>16</v>
      </c>
      <c r="V35" s="110">
        <f>IFERROR(MATCH(U35,'CostModel Coef'!$C$9:$C$13,0),0)</f>
        <v>4</v>
      </c>
      <c r="W35" s="110"/>
      <c r="X35" s="82">
        <f>IF(V35&gt;0,INDEX('CostModel Coef'!$D$9:$D$13,V35)+INDEX('CostModel Coef'!$E$9:$E$13,V35)+INDEX('CostModel Coef'!$G$9:$G$13,V35)*E35,0)</f>
        <v>2543.2665699999998</v>
      </c>
      <c r="Y35" s="82">
        <f>IF(V35&gt;0,INDEX('CostModel Coef'!$J$9:$J$13,V35),0)</f>
        <v>958.56000000000006</v>
      </c>
      <c r="Z35" s="112">
        <f>IF(V35&gt;0,INDEX('CostModel Coef'!$M$9:$M$13,V35),0)</f>
        <v>0.2</v>
      </c>
      <c r="AA35" s="110"/>
      <c r="AB35" s="110"/>
      <c r="AC35" s="44">
        <f t="shared" si="0"/>
        <v>3051.92</v>
      </c>
      <c r="AD35" s="44">
        <f t="shared" si="1"/>
        <v>1150.27</v>
      </c>
      <c r="AE35" s="35">
        <f>IF(V35&gt;0,INDEX('CostModel Coef'!$K$9:$K$13,V35),0)</f>
        <v>6.916666666666667</v>
      </c>
      <c r="AF35" s="35">
        <f>IF(V35&gt;0,INDEX('CostModel Coef'!$L$9:$L$13,V35),0)</f>
        <v>105.86833333333334</v>
      </c>
      <c r="AG35" s="110"/>
      <c r="AH35" s="110"/>
    </row>
    <row r="36" spans="1:34">
      <c r="A36" s="110" t="s">
        <v>217</v>
      </c>
      <c r="B36" s="110" t="s">
        <v>156</v>
      </c>
      <c r="C36" s="110">
        <v>13.9</v>
      </c>
      <c r="D36" s="110">
        <v>15.1</v>
      </c>
      <c r="E36" s="110">
        <v>13</v>
      </c>
      <c r="F36" s="110">
        <v>65</v>
      </c>
      <c r="G36" s="110">
        <v>110</v>
      </c>
      <c r="H36" s="110" t="s">
        <v>157</v>
      </c>
      <c r="I36" s="110">
        <v>0.66300000000000003</v>
      </c>
      <c r="J36" s="110">
        <v>0.22552</v>
      </c>
      <c r="K36" s="110">
        <v>318</v>
      </c>
      <c r="L36" s="110">
        <v>0.4</v>
      </c>
      <c r="M36" s="110">
        <v>0</v>
      </c>
      <c r="N36" s="110">
        <v>100</v>
      </c>
      <c r="O36" s="110" t="s">
        <v>165</v>
      </c>
      <c r="P36" s="110" t="s">
        <v>218</v>
      </c>
      <c r="Q36" s="80" t="s">
        <v>160</v>
      </c>
      <c r="R36" s="110"/>
      <c r="S36" s="110"/>
      <c r="T36" s="110"/>
      <c r="U36" s="110" t="s">
        <v>16</v>
      </c>
      <c r="V36" s="110">
        <f>IFERROR(MATCH(U36,'CostModel Coef'!$C$9:$C$13,0),0)</f>
        <v>4</v>
      </c>
      <c r="W36" s="110"/>
      <c r="X36" s="82">
        <f>IF(V36&gt;0,INDEX('CostModel Coef'!$D$9:$D$13,V36)+INDEX('CostModel Coef'!$E$9:$E$13,V36)+INDEX('CostModel Coef'!$G$9:$G$13,V36)*E36,0)</f>
        <v>4855.4925700000022</v>
      </c>
      <c r="Y36" s="82">
        <f>IF(V36&gt;0,INDEX('CostModel Coef'!$J$9:$J$13,V36),0)</f>
        <v>958.56000000000006</v>
      </c>
      <c r="Z36" s="112">
        <f>IF(V36&gt;0,INDEX('CostModel Coef'!$M$9:$M$13,V36),0)</f>
        <v>0.2</v>
      </c>
      <c r="AA36" s="110"/>
      <c r="AB36" s="110"/>
      <c r="AC36" s="44">
        <f t="shared" si="0"/>
        <v>5826.59</v>
      </c>
      <c r="AD36" s="44">
        <f t="shared" si="1"/>
        <v>1150.27</v>
      </c>
      <c r="AE36" s="35">
        <f>IF(V36&gt;0,INDEX('CostModel Coef'!$K$9:$K$13,V36),0)</f>
        <v>6.916666666666667</v>
      </c>
      <c r="AF36" s="35">
        <f>IF(V36&gt;0,INDEX('CostModel Coef'!$L$9:$L$13,V36),0)</f>
        <v>105.86833333333334</v>
      </c>
      <c r="AG36" s="110"/>
      <c r="AH36" s="110"/>
    </row>
    <row r="37" spans="1:34">
      <c r="A37" s="110" t="s">
        <v>219</v>
      </c>
      <c r="B37" s="110" t="s">
        <v>156</v>
      </c>
      <c r="C37" s="110">
        <v>10.9</v>
      </c>
      <c r="D37" s="110">
        <v>12.1</v>
      </c>
      <c r="E37" s="110">
        <v>10.199999999999999</v>
      </c>
      <c r="F37" s="110">
        <v>760</v>
      </c>
      <c r="G37" s="110"/>
      <c r="H37" s="110" t="s">
        <v>157</v>
      </c>
      <c r="I37" s="110">
        <v>0.70499999999999996</v>
      </c>
      <c r="J37" s="110">
        <v>0.27298</v>
      </c>
      <c r="K37" s="110">
        <v>320.39999999999998</v>
      </c>
      <c r="L37" s="110">
        <v>0.61</v>
      </c>
      <c r="M37" s="110">
        <v>0</v>
      </c>
      <c r="N37" s="110">
        <v>100</v>
      </c>
      <c r="O37" s="110" t="s">
        <v>165</v>
      </c>
      <c r="P37" s="110" t="s">
        <v>220</v>
      </c>
      <c r="Q37" s="80" t="s">
        <v>160</v>
      </c>
      <c r="R37" s="110"/>
      <c r="S37" s="110"/>
      <c r="T37" s="110"/>
      <c r="U37" s="110" t="s">
        <v>16</v>
      </c>
      <c r="V37" s="110">
        <f>IFERROR(MATCH(U37,'CostModel Coef'!$C$9:$C$13,0),0)</f>
        <v>4</v>
      </c>
      <c r="W37" s="110"/>
      <c r="X37" s="82">
        <f>IF(V37&gt;0,INDEX('CostModel Coef'!$D$9:$D$13,V37)+INDEX('CostModel Coef'!$E$9:$E$13,V37)+INDEX('CostModel Coef'!$G$9:$G$13,V37)*E37,0)</f>
        <v>-1618.7402299999994</v>
      </c>
      <c r="Y37" s="82">
        <f>IF(V37&gt;0,INDEX('CostModel Coef'!$J$9:$J$13,V37),0)</f>
        <v>958.56000000000006</v>
      </c>
      <c r="Z37" s="112">
        <f>IF(V37&gt;0,INDEX('CostModel Coef'!$M$9:$M$13,V37),0)</f>
        <v>0.2</v>
      </c>
      <c r="AA37" s="110"/>
      <c r="AB37" s="110"/>
      <c r="AC37" s="44">
        <f t="shared" si="0"/>
        <v>-1942.49</v>
      </c>
      <c r="AD37" s="44">
        <f t="shared" si="1"/>
        <v>1150.27</v>
      </c>
      <c r="AE37" s="35">
        <f>IF(V37&gt;0,INDEX('CostModel Coef'!$K$9:$K$13,V37),0)</f>
        <v>6.916666666666667</v>
      </c>
      <c r="AF37" s="35">
        <f>IF(V37&gt;0,INDEX('CostModel Coef'!$L$9:$L$13,V37),0)</f>
        <v>105.86833333333334</v>
      </c>
      <c r="AG37" s="110"/>
      <c r="AH37" s="81"/>
    </row>
    <row r="38" spans="1:34">
      <c r="A38" s="110" t="s">
        <v>221</v>
      </c>
      <c r="B38" s="110" t="s">
        <v>156</v>
      </c>
      <c r="C38" s="110">
        <v>10.9</v>
      </c>
      <c r="D38" s="110">
        <v>12.1</v>
      </c>
      <c r="E38" s="110">
        <v>10.199999999999999</v>
      </c>
      <c r="F38" s="110">
        <v>760</v>
      </c>
      <c r="G38" s="110"/>
      <c r="H38" s="110" t="s">
        <v>157</v>
      </c>
      <c r="I38" s="110">
        <v>0.70799999999999996</v>
      </c>
      <c r="J38" s="110">
        <v>0.27512999999999999</v>
      </c>
      <c r="K38" s="110">
        <v>321.60000000000002</v>
      </c>
      <c r="L38" s="110">
        <v>0.72</v>
      </c>
      <c r="M38" s="110">
        <v>0</v>
      </c>
      <c r="N38" s="110">
        <v>100</v>
      </c>
      <c r="O38" s="110" t="s">
        <v>185</v>
      </c>
      <c r="P38" s="110" t="s">
        <v>222</v>
      </c>
      <c r="Q38" s="80" t="s">
        <v>160</v>
      </c>
      <c r="R38" s="110"/>
      <c r="S38" s="110"/>
      <c r="T38" s="110"/>
      <c r="U38" s="110" t="s">
        <v>161</v>
      </c>
      <c r="V38" s="110">
        <f>IFERROR(MATCH(U38,'CostModel Coef'!$C$9:$C$13,0),0)</f>
        <v>0</v>
      </c>
      <c r="W38" s="110"/>
      <c r="X38" s="82">
        <f>IF(V38&gt;0,INDEX('CostModel Coef'!$D$9:$D$13,V38)+INDEX('CostModel Coef'!$E$9:$E$13,V38)+INDEX('CostModel Coef'!$G$9:$G$13,V38)*E38,0)</f>
        <v>0</v>
      </c>
      <c r="Y38" s="82">
        <f>IF(V38&gt;0,INDEX('CostModel Coef'!$J$9:$J$13,V38),0)</f>
        <v>0</v>
      </c>
      <c r="Z38" s="112">
        <f>IF(V38&gt;0,INDEX('CostModel Coef'!$M$9:$M$13,V38),0)</f>
        <v>0</v>
      </c>
      <c r="AA38" s="110"/>
      <c r="AB38" s="110"/>
      <c r="AC38" s="44">
        <f t="shared" si="0"/>
        <v>0</v>
      </c>
      <c r="AD38" s="44">
        <f t="shared" si="1"/>
        <v>0</v>
      </c>
      <c r="AE38" s="35">
        <f>IF(V38&gt;0,INDEX('CostModel Coef'!$K$9:$K$13,V38),0)</f>
        <v>0</v>
      </c>
      <c r="AF38" s="35">
        <f>IF(V38&gt;0,INDEX('CostModel Coef'!$L$9:$L$13,V38),0)</f>
        <v>0</v>
      </c>
      <c r="AG38" s="110"/>
      <c r="AH38" s="110"/>
    </row>
    <row r="39" spans="1:34">
      <c r="A39" s="110" t="s">
        <v>223</v>
      </c>
      <c r="B39" s="110" t="s">
        <v>156</v>
      </c>
      <c r="C39" s="110">
        <v>11.8</v>
      </c>
      <c r="D39" s="110">
        <v>13.1</v>
      </c>
      <c r="E39" s="110">
        <v>11</v>
      </c>
      <c r="F39" s="110">
        <v>760</v>
      </c>
      <c r="G39" s="110"/>
      <c r="H39" s="110" t="s">
        <v>157</v>
      </c>
      <c r="I39" s="110">
        <v>0.70499999999999996</v>
      </c>
      <c r="J39" s="110">
        <v>0.24907000000000001</v>
      </c>
      <c r="K39" s="110">
        <v>320.39999999999998</v>
      </c>
      <c r="L39" s="110">
        <v>0.61</v>
      </c>
      <c r="M39" s="110">
        <v>0</v>
      </c>
      <c r="N39" s="110">
        <v>100</v>
      </c>
      <c r="O39" s="110" t="s">
        <v>165</v>
      </c>
      <c r="P39" s="110" t="s">
        <v>224</v>
      </c>
      <c r="Q39" s="80" t="s">
        <v>160</v>
      </c>
      <c r="R39" s="110"/>
      <c r="S39" s="110"/>
      <c r="T39" s="110"/>
      <c r="U39" s="110" t="s">
        <v>16</v>
      </c>
      <c r="V39" s="110">
        <f>IFERROR(MATCH(U39,'CostModel Coef'!$C$9:$C$13,0),0)</f>
        <v>4</v>
      </c>
      <c r="W39" s="110"/>
      <c r="X39" s="82">
        <f>IF(V39&gt;0,INDEX('CostModel Coef'!$D$9:$D$13,V39)+INDEX('CostModel Coef'!$E$9:$E$13,V39)+INDEX('CostModel Coef'!$G$9:$G$13,V39)*E39,0)</f>
        <v>231.04057000000103</v>
      </c>
      <c r="Y39" s="82">
        <f>IF(V39&gt;0,INDEX('CostModel Coef'!$J$9:$J$13,V39),0)</f>
        <v>958.56000000000006</v>
      </c>
      <c r="Z39" s="112">
        <f>IF(V39&gt;0,INDEX('CostModel Coef'!$M$9:$M$13,V39),0)</f>
        <v>0.2</v>
      </c>
      <c r="AA39" s="110"/>
      <c r="AB39" s="110"/>
      <c r="AC39" s="44">
        <f t="shared" si="0"/>
        <v>277.25</v>
      </c>
      <c r="AD39" s="44">
        <f t="shared" si="1"/>
        <v>1150.27</v>
      </c>
      <c r="AE39" s="35">
        <f>IF(V39&gt;0,INDEX('CostModel Coef'!$K$9:$K$13,V39),0)</f>
        <v>6.916666666666667</v>
      </c>
      <c r="AF39" s="35">
        <f>IF(V39&gt;0,INDEX('CostModel Coef'!$L$9:$L$13,V39),0)</f>
        <v>105.86833333333334</v>
      </c>
      <c r="AG39" s="110"/>
      <c r="AH39" s="110"/>
    </row>
    <row r="40" spans="1:34">
      <c r="A40" s="110" t="s">
        <v>225</v>
      </c>
      <c r="B40" s="110" t="s">
        <v>156</v>
      </c>
      <c r="C40" s="110">
        <v>11.8</v>
      </c>
      <c r="D40" s="110">
        <v>13.1</v>
      </c>
      <c r="E40" s="110">
        <v>11</v>
      </c>
      <c r="F40" s="110">
        <v>760</v>
      </c>
      <c r="G40" s="110"/>
      <c r="H40" s="110" t="s">
        <v>157</v>
      </c>
      <c r="I40" s="110">
        <v>0.70799999999999996</v>
      </c>
      <c r="J40" s="110">
        <v>0.25044</v>
      </c>
      <c r="K40" s="110">
        <v>321.60000000000002</v>
      </c>
      <c r="L40" s="110">
        <v>0.72</v>
      </c>
      <c r="M40" s="110">
        <v>0</v>
      </c>
      <c r="N40" s="110">
        <v>100</v>
      </c>
      <c r="O40" s="110" t="s">
        <v>185</v>
      </c>
      <c r="P40" s="110" t="s">
        <v>226</v>
      </c>
      <c r="Q40" s="80" t="s">
        <v>160</v>
      </c>
      <c r="R40" s="110"/>
      <c r="S40" s="110"/>
      <c r="T40" s="110"/>
      <c r="U40" s="110" t="s">
        <v>161</v>
      </c>
      <c r="V40" s="110">
        <f>IFERROR(MATCH(U40,'CostModel Coef'!$C$9:$C$13,0),0)</f>
        <v>0</v>
      </c>
      <c r="W40" s="110"/>
      <c r="X40" s="82">
        <f>IF(V40&gt;0,INDEX('CostModel Coef'!$D$9:$D$13,V40)+INDEX('CostModel Coef'!$E$9:$E$13,V40)+INDEX('CostModel Coef'!$G$9:$G$13,V40)*E40,0)</f>
        <v>0</v>
      </c>
      <c r="Y40" s="82">
        <f>IF(V40&gt;0,INDEX('CostModel Coef'!$J$9:$J$13,V40),0)</f>
        <v>0</v>
      </c>
      <c r="Z40" s="112">
        <f>IF(V40&gt;0,INDEX('CostModel Coef'!$M$9:$M$13,V40),0)</f>
        <v>0</v>
      </c>
      <c r="AA40" s="110"/>
      <c r="AB40" s="110"/>
      <c r="AC40" s="44">
        <f t="shared" si="0"/>
        <v>0</v>
      </c>
      <c r="AD40" s="44">
        <f t="shared" si="1"/>
        <v>0</v>
      </c>
      <c r="AE40" s="35">
        <f>IF(V40&gt;0,INDEX('CostModel Coef'!$K$9:$K$13,V40),0)</f>
        <v>0</v>
      </c>
      <c r="AF40" s="35">
        <f>IF(V40&gt;0,INDEX('CostModel Coef'!$L$9:$L$13,V40),0)</f>
        <v>0</v>
      </c>
      <c r="AG40" s="110"/>
      <c r="AH40" s="110"/>
    </row>
    <row r="41" spans="1:34">
      <c r="A41" s="110" t="s">
        <v>227</v>
      </c>
      <c r="B41" s="110" t="s">
        <v>156</v>
      </c>
      <c r="C41" s="110">
        <v>13</v>
      </c>
      <c r="D41" s="110">
        <v>14.2</v>
      </c>
      <c r="E41" s="110">
        <v>12</v>
      </c>
      <c r="F41" s="110">
        <v>760</v>
      </c>
      <c r="G41" s="110"/>
      <c r="H41" s="110" t="s">
        <v>157</v>
      </c>
      <c r="I41" s="110">
        <v>0.70499999999999996</v>
      </c>
      <c r="J41" s="110">
        <v>0.22373000000000001</v>
      </c>
      <c r="K41" s="110">
        <v>320.39999999999998</v>
      </c>
      <c r="L41" s="110">
        <v>0.61</v>
      </c>
      <c r="M41" s="110">
        <v>0</v>
      </c>
      <c r="N41" s="110">
        <v>100</v>
      </c>
      <c r="O41" s="110" t="s">
        <v>165</v>
      </c>
      <c r="P41" s="110" t="s">
        <v>228</v>
      </c>
      <c r="Q41" s="80" t="s">
        <v>160</v>
      </c>
      <c r="R41" s="110"/>
      <c r="S41" s="110"/>
      <c r="T41" s="110"/>
      <c r="U41" s="110" t="s">
        <v>16</v>
      </c>
      <c r="V41" s="110">
        <f>IFERROR(MATCH(U41,'CostModel Coef'!$C$9:$C$13,0),0)</f>
        <v>4</v>
      </c>
      <c r="W41" s="110"/>
      <c r="X41" s="82">
        <f>IF(V41&gt;0,INDEX('CostModel Coef'!$D$9:$D$13,V41)+INDEX('CostModel Coef'!$E$9:$E$13,V41)+INDEX('CostModel Coef'!$G$9:$G$13,V41)*E41,0)</f>
        <v>2543.2665699999998</v>
      </c>
      <c r="Y41" s="82">
        <f>IF(V41&gt;0,INDEX('CostModel Coef'!$J$9:$J$13,V41),0)</f>
        <v>958.56000000000006</v>
      </c>
      <c r="Z41" s="112">
        <f>IF(V41&gt;0,INDEX('CostModel Coef'!$M$9:$M$13,V41),0)</f>
        <v>0.2</v>
      </c>
      <c r="AA41" s="110"/>
      <c r="AB41" s="110"/>
      <c r="AC41" s="44">
        <f t="shared" si="0"/>
        <v>3051.92</v>
      </c>
      <c r="AD41" s="44">
        <f t="shared" si="1"/>
        <v>1150.27</v>
      </c>
      <c r="AE41" s="35">
        <f>IF(V41&gt;0,INDEX('CostModel Coef'!$K$9:$K$13,V41),0)</f>
        <v>6.916666666666667</v>
      </c>
      <c r="AF41" s="35">
        <f>IF(V41&gt;0,INDEX('CostModel Coef'!$L$9:$L$13,V41),0)</f>
        <v>105.86833333333334</v>
      </c>
      <c r="AG41" s="110"/>
      <c r="AH41" s="110"/>
    </row>
    <row r="42" spans="1:34">
      <c r="A42" s="110" t="s">
        <v>229</v>
      </c>
      <c r="B42" s="110" t="s">
        <v>156</v>
      </c>
      <c r="C42" s="110">
        <v>13</v>
      </c>
      <c r="D42" s="110">
        <v>14.2</v>
      </c>
      <c r="E42" s="110">
        <v>12</v>
      </c>
      <c r="F42" s="110">
        <v>760</v>
      </c>
      <c r="G42" s="110"/>
      <c r="H42" s="110" t="s">
        <v>157</v>
      </c>
      <c r="I42" s="110">
        <v>0.70799999999999996</v>
      </c>
      <c r="J42" s="110">
        <v>0.22398000000000001</v>
      </c>
      <c r="K42" s="110">
        <v>321.60000000000002</v>
      </c>
      <c r="L42" s="110">
        <v>0.72</v>
      </c>
      <c r="M42" s="110">
        <v>0</v>
      </c>
      <c r="N42" s="110">
        <v>100</v>
      </c>
      <c r="O42" s="110" t="s">
        <v>185</v>
      </c>
      <c r="P42" s="110" t="s">
        <v>230</v>
      </c>
      <c r="Q42" s="80" t="s">
        <v>160</v>
      </c>
      <c r="R42" s="110"/>
      <c r="S42" s="110"/>
      <c r="T42" s="110"/>
      <c r="U42" s="110" t="s">
        <v>161</v>
      </c>
      <c r="V42" s="110">
        <f>IFERROR(MATCH(U42,'CostModel Coef'!$C$9:$C$13,0),0)</f>
        <v>0</v>
      </c>
      <c r="W42" s="110"/>
      <c r="X42" s="82">
        <f>IF(V42&gt;0,INDEX('CostModel Coef'!$D$9:$D$13,V42)+INDEX('CostModel Coef'!$E$9:$E$13,V42)+INDEX('CostModel Coef'!$G$9:$G$13,V42)*E42,0)</f>
        <v>0</v>
      </c>
      <c r="Y42" s="82">
        <f>IF(V42&gt;0,INDEX('CostModel Coef'!$J$9:$J$13,V42),0)</f>
        <v>0</v>
      </c>
      <c r="Z42" s="112">
        <f>IF(V42&gt;0,INDEX('CostModel Coef'!$M$9:$M$13,V42),0)</f>
        <v>0</v>
      </c>
      <c r="AA42" s="110"/>
      <c r="AB42" s="110"/>
      <c r="AC42" s="44">
        <f t="shared" si="0"/>
        <v>0</v>
      </c>
      <c r="AD42" s="44">
        <f t="shared" si="1"/>
        <v>0</v>
      </c>
      <c r="AE42" s="35">
        <f>IF(V42&gt;0,INDEX('CostModel Coef'!$K$9:$K$13,V42),0)</f>
        <v>0</v>
      </c>
      <c r="AF42" s="35">
        <f>IF(V42&gt;0,INDEX('CostModel Coef'!$L$9:$L$13,V42),0)</f>
        <v>0</v>
      </c>
      <c r="AG42" s="110"/>
      <c r="AH42" s="110"/>
    </row>
    <row r="43" spans="1:34">
      <c r="A43" s="110" t="s">
        <v>231</v>
      </c>
      <c r="B43" s="110" t="s">
        <v>156</v>
      </c>
      <c r="C43" s="110">
        <v>10.7</v>
      </c>
      <c r="D43" s="110">
        <v>10.7</v>
      </c>
      <c r="E43" s="110">
        <v>9</v>
      </c>
      <c r="F43" s="110">
        <v>760</v>
      </c>
      <c r="G43" s="110"/>
      <c r="H43" s="110" t="s">
        <v>157</v>
      </c>
      <c r="I43" s="110"/>
      <c r="J43" s="110"/>
      <c r="K43" s="110"/>
      <c r="L43" s="110">
        <v>0.61</v>
      </c>
      <c r="M43" s="110">
        <v>0</v>
      </c>
      <c r="N43" s="110">
        <v>100</v>
      </c>
      <c r="O43" s="110" t="s">
        <v>158</v>
      </c>
      <c r="P43" s="110" t="s">
        <v>232</v>
      </c>
      <c r="Q43" s="80" t="s">
        <v>160</v>
      </c>
      <c r="R43" s="110"/>
      <c r="S43" s="110"/>
      <c r="T43" s="110"/>
      <c r="U43" s="110" t="s">
        <v>161</v>
      </c>
      <c r="V43" s="110">
        <f>IFERROR(MATCH(U43,'CostModel Coef'!$C$9:$C$13,0),0)</f>
        <v>0</v>
      </c>
      <c r="W43" s="110"/>
      <c r="X43" s="82">
        <f>IF(V43&gt;0,INDEX('CostModel Coef'!$D$9:$D$13,V43)+INDEX('CostModel Coef'!$E$9:$E$13,V43)+INDEX('CostModel Coef'!$G$9:$G$13,V43)*E43,0)</f>
        <v>0</v>
      </c>
      <c r="Y43" s="82">
        <f>IF(V43&gt;0,INDEX('CostModel Coef'!$J$9:$J$13,V43),0)</f>
        <v>0</v>
      </c>
      <c r="Z43" s="112">
        <f>IF(V43&gt;0,INDEX('CostModel Coef'!$M$9:$M$13,V43),0)</f>
        <v>0</v>
      </c>
      <c r="AA43" s="110"/>
      <c r="AB43" s="110"/>
      <c r="AC43" s="44">
        <f t="shared" si="0"/>
        <v>0</v>
      </c>
      <c r="AD43" s="44">
        <f t="shared" si="1"/>
        <v>0</v>
      </c>
      <c r="AE43" s="35">
        <f>IF(V43&gt;0,INDEX('CostModel Coef'!$K$9:$K$13,V43),0)</f>
        <v>0</v>
      </c>
      <c r="AF43" s="35">
        <f>IF(V43&gt;0,INDEX('CostModel Coef'!$L$9:$L$13,V43),0)</f>
        <v>0</v>
      </c>
      <c r="AG43" s="110"/>
      <c r="AH43" s="110"/>
    </row>
    <row r="44" spans="1:34">
      <c r="A44" s="110" t="s">
        <v>233</v>
      </c>
      <c r="B44" s="110" t="s">
        <v>156</v>
      </c>
      <c r="C44" s="110">
        <v>11</v>
      </c>
      <c r="D44" s="110">
        <v>11</v>
      </c>
      <c r="E44" s="110">
        <v>9.1999999999999993</v>
      </c>
      <c r="F44" s="110">
        <v>760</v>
      </c>
      <c r="G44" s="110"/>
      <c r="H44" s="110" t="s">
        <v>157</v>
      </c>
      <c r="I44" s="110"/>
      <c r="J44" s="110"/>
      <c r="K44" s="110"/>
      <c r="L44" s="110">
        <v>0.72</v>
      </c>
      <c r="M44" s="110">
        <v>0</v>
      </c>
      <c r="N44" s="110">
        <v>100</v>
      </c>
      <c r="O44" s="110" t="s">
        <v>185</v>
      </c>
      <c r="P44" s="110" t="s">
        <v>234</v>
      </c>
      <c r="Q44" s="80" t="s">
        <v>160</v>
      </c>
      <c r="R44" s="110"/>
      <c r="S44" s="110"/>
      <c r="T44" s="110"/>
      <c r="U44" s="110" t="s">
        <v>161</v>
      </c>
      <c r="V44" s="110">
        <f>IFERROR(MATCH(U44,'CostModel Coef'!$C$9:$C$13,0),0)</f>
        <v>0</v>
      </c>
      <c r="W44" s="110"/>
      <c r="X44" s="82">
        <f>IF(V44&gt;0,INDEX('CostModel Coef'!$D$9:$D$13,V44)+INDEX('CostModel Coef'!$E$9:$E$13,V44)+INDEX('CostModel Coef'!$G$9:$G$13,V44)*E44,0)</f>
        <v>0</v>
      </c>
      <c r="Y44" s="82">
        <f>IF(V44&gt;0,INDEX('CostModel Coef'!$J$9:$J$13,V44),0)</f>
        <v>0</v>
      </c>
      <c r="Z44" s="112">
        <f>IF(V44&gt;0,INDEX('CostModel Coef'!$M$9:$M$13,V44),0)</f>
        <v>0</v>
      </c>
      <c r="AA44" s="110"/>
      <c r="AB44" s="110"/>
      <c r="AC44" s="44">
        <f t="shared" si="0"/>
        <v>0</v>
      </c>
      <c r="AD44" s="44">
        <f t="shared" si="1"/>
        <v>0</v>
      </c>
      <c r="AE44" s="35">
        <f>IF(V44&gt;0,INDEX('CostModel Coef'!$K$9:$K$13,V44),0)</f>
        <v>0</v>
      </c>
      <c r="AF44" s="35">
        <f>IF(V44&gt;0,INDEX('CostModel Coef'!$L$9:$L$13,V44),0)</f>
        <v>0</v>
      </c>
      <c r="AG44" s="110"/>
      <c r="AH44" s="110"/>
    </row>
    <row r="45" spans="1:34">
      <c r="A45" s="110" t="s">
        <v>235</v>
      </c>
      <c r="B45" s="110" t="s">
        <v>156</v>
      </c>
      <c r="C45" s="110">
        <v>11.3</v>
      </c>
      <c r="D45" s="110">
        <v>11.3</v>
      </c>
      <c r="E45" s="110">
        <v>9.5</v>
      </c>
      <c r="F45" s="110">
        <v>760</v>
      </c>
      <c r="G45" s="110"/>
      <c r="H45" s="110" t="s">
        <v>157</v>
      </c>
      <c r="I45" s="110"/>
      <c r="J45" s="110"/>
      <c r="K45" s="110"/>
      <c r="L45" s="110">
        <v>0.61</v>
      </c>
      <c r="M45" s="110">
        <v>0</v>
      </c>
      <c r="N45" s="110">
        <v>100</v>
      </c>
      <c r="O45" s="110" t="s">
        <v>158</v>
      </c>
      <c r="P45" s="110" t="s">
        <v>236</v>
      </c>
      <c r="Q45" s="80" t="s">
        <v>160</v>
      </c>
      <c r="R45" s="110"/>
      <c r="S45" s="110"/>
      <c r="T45" s="110"/>
      <c r="U45" s="110" t="s">
        <v>161</v>
      </c>
      <c r="V45" s="110">
        <f>IFERROR(MATCH(U45,'CostModel Coef'!$C$9:$C$13,0),0)</f>
        <v>0</v>
      </c>
      <c r="W45" s="110"/>
      <c r="X45" s="82">
        <f>IF(V45&gt;0,INDEX('CostModel Coef'!$D$9:$D$13,V45)+INDEX('CostModel Coef'!$E$9:$E$13,V45)+INDEX('CostModel Coef'!$G$9:$G$13,V45)*E45,0)</f>
        <v>0</v>
      </c>
      <c r="Y45" s="82">
        <f>IF(V45&gt;0,INDEX('CostModel Coef'!$J$9:$J$13,V45),0)</f>
        <v>0</v>
      </c>
      <c r="Z45" s="112">
        <f>IF(V45&gt;0,INDEX('CostModel Coef'!$M$9:$M$13,V45),0)</f>
        <v>0</v>
      </c>
      <c r="AA45" s="110"/>
      <c r="AB45" s="110"/>
      <c r="AC45" s="44">
        <f t="shared" si="0"/>
        <v>0</v>
      </c>
      <c r="AD45" s="44">
        <f t="shared" si="1"/>
        <v>0</v>
      </c>
      <c r="AE45" s="35">
        <f>IF(V45&gt;0,INDEX('CostModel Coef'!$K$9:$K$13,V45),0)</f>
        <v>0</v>
      </c>
      <c r="AF45" s="35">
        <f>IF(V45&gt;0,INDEX('CostModel Coef'!$L$9:$L$13,V45),0)</f>
        <v>0</v>
      </c>
      <c r="AG45" s="110"/>
      <c r="AH45" s="110"/>
    </row>
    <row r="46" spans="1:34">
      <c r="A46" s="110" t="s">
        <v>237</v>
      </c>
      <c r="B46" s="110" t="s">
        <v>156</v>
      </c>
      <c r="C46" s="110">
        <v>10</v>
      </c>
      <c r="D46" s="110">
        <v>11.3</v>
      </c>
      <c r="E46" s="110">
        <v>9.5</v>
      </c>
      <c r="F46" s="110">
        <v>760</v>
      </c>
      <c r="G46" s="110"/>
      <c r="H46" s="110" t="s">
        <v>157</v>
      </c>
      <c r="I46" s="110">
        <v>0.70499999999999996</v>
      </c>
      <c r="J46" s="110">
        <v>0.29707</v>
      </c>
      <c r="K46" s="110">
        <v>320.39999999999998</v>
      </c>
      <c r="L46" s="110">
        <v>0.61</v>
      </c>
      <c r="M46" s="110">
        <v>0</v>
      </c>
      <c r="N46" s="110">
        <v>100</v>
      </c>
      <c r="O46" s="110" t="s">
        <v>165</v>
      </c>
      <c r="P46" s="110" t="s">
        <v>238</v>
      </c>
      <c r="Q46" s="80" t="s">
        <v>160</v>
      </c>
      <c r="R46" s="110"/>
      <c r="S46" s="110"/>
      <c r="T46" s="110"/>
      <c r="U46" s="110" t="s">
        <v>16</v>
      </c>
      <c r="V46" s="110">
        <f>IFERROR(MATCH(U46,'CostModel Coef'!$C$9:$C$13,0),0)</f>
        <v>4</v>
      </c>
      <c r="W46" s="110"/>
      <c r="X46" s="82">
        <f>IF(V46&gt;0,INDEX('CostModel Coef'!$D$9:$D$13,V46)+INDEX('CostModel Coef'!$E$9:$E$13,V46)+INDEX('CostModel Coef'!$G$9:$G$13,V46)*E46,0)</f>
        <v>-3237.2984299999989</v>
      </c>
      <c r="Y46" s="82">
        <f>IF(V46&gt;0,INDEX('CostModel Coef'!$J$9:$J$13,V46),0)</f>
        <v>958.56000000000006</v>
      </c>
      <c r="Z46" s="112">
        <f>IF(V46&gt;0,INDEX('CostModel Coef'!$M$9:$M$13,V46),0)</f>
        <v>0.2</v>
      </c>
      <c r="AA46" s="110"/>
      <c r="AB46" s="110"/>
      <c r="AC46" s="44">
        <f t="shared" si="0"/>
        <v>-3884.76</v>
      </c>
      <c r="AD46" s="44">
        <f t="shared" si="1"/>
        <v>1150.27</v>
      </c>
      <c r="AE46" s="35">
        <f>IF(V46&gt;0,INDEX('CostModel Coef'!$K$9:$K$13,V46),0)</f>
        <v>6.916666666666667</v>
      </c>
      <c r="AF46" s="35">
        <f>IF(V46&gt;0,INDEX('CostModel Coef'!$L$9:$L$13,V46),0)</f>
        <v>105.86833333333334</v>
      </c>
      <c r="AG46" s="110"/>
      <c r="AH46" s="110"/>
    </row>
    <row r="47" spans="1:34">
      <c r="A47" s="110" t="s">
        <v>239</v>
      </c>
      <c r="B47" s="110" t="s">
        <v>156</v>
      </c>
      <c r="C47" s="110">
        <v>10.3</v>
      </c>
      <c r="D47" s="110">
        <v>11.6</v>
      </c>
      <c r="E47" s="110">
        <v>9.6999999999999993</v>
      </c>
      <c r="F47" s="110">
        <v>760</v>
      </c>
      <c r="G47" s="110"/>
      <c r="H47" s="110" t="s">
        <v>157</v>
      </c>
      <c r="I47" s="110">
        <v>0.70799999999999996</v>
      </c>
      <c r="J47" s="110">
        <v>0.29276999999999997</v>
      </c>
      <c r="K47" s="110">
        <v>321.60000000000002</v>
      </c>
      <c r="L47" s="110">
        <v>0.72</v>
      </c>
      <c r="M47" s="110">
        <v>0</v>
      </c>
      <c r="N47" s="110">
        <v>100</v>
      </c>
      <c r="O47" s="110" t="s">
        <v>185</v>
      </c>
      <c r="P47" s="110" t="s">
        <v>240</v>
      </c>
      <c r="Q47" s="80" t="s">
        <v>160</v>
      </c>
      <c r="R47" s="110"/>
      <c r="S47" s="110"/>
      <c r="T47" s="110"/>
      <c r="U47" s="110" t="s">
        <v>161</v>
      </c>
      <c r="V47" s="110">
        <f>IFERROR(MATCH(U47,'CostModel Coef'!$C$9:$C$13,0),0)</f>
        <v>0</v>
      </c>
      <c r="W47" s="110"/>
      <c r="X47" s="82">
        <f>IF(V47&gt;0,INDEX('CostModel Coef'!$D$9:$D$13,V47)+INDEX('CostModel Coef'!$E$9:$E$13,V47)+INDEX('CostModel Coef'!$G$9:$G$13,V47)*E47,0)</f>
        <v>0</v>
      </c>
      <c r="Y47" s="82">
        <f>IF(V47&gt;0,INDEX('CostModel Coef'!$J$9:$J$13,V47),0)</f>
        <v>0</v>
      </c>
      <c r="Z47" s="112">
        <f>IF(V47&gt;0,INDEX('CostModel Coef'!$M$9:$M$13,V47),0)</f>
        <v>0</v>
      </c>
      <c r="AA47" s="110"/>
      <c r="AB47" s="110"/>
      <c r="AC47" s="44">
        <f t="shared" si="0"/>
        <v>0</v>
      </c>
      <c r="AD47" s="44">
        <f t="shared" si="1"/>
        <v>0</v>
      </c>
      <c r="AE47" s="35">
        <f>IF(V47&gt;0,INDEX('CostModel Coef'!$K$9:$K$13,V47),0)</f>
        <v>0</v>
      </c>
      <c r="AF47" s="35">
        <f>IF(V47&gt;0,INDEX('CostModel Coef'!$L$9:$L$13,V47),0)</f>
        <v>0</v>
      </c>
      <c r="AG47" s="110"/>
      <c r="AH47" s="110"/>
    </row>
    <row r="48" spans="1:34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82"/>
      <c r="Y48" s="82"/>
      <c r="Z48" s="112"/>
      <c r="AA48" s="110"/>
      <c r="AB48" s="110"/>
      <c r="AC48" s="7"/>
      <c r="AD48" s="7"/>
      <c r="AE48" s="7"/>
      <c r="AF48" s="7"/>
      <c r="AG48" s="110"/>
      <c r="AH48" s="110"/>
    </row>
    <row r="49" spans="1:32" s="1" customFormat="1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82"/>
      <c r="Y49" s="82"/>
      <c r="Z49" s="112"/>
      <c r="AA49" s="110"/>
      <c r="AB49" s="110"/>
      <c r="AC49" s="7"/>
      <c r="AD49" s="7"/>
      <c r="AE49" s="7"/>
      <c r="AF49" s="7"/>
    </row>
    <row r="50" spans="1:32">
      <c r="A50" s="109" t="s">
        <v>124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82"/>
      <c r="Y50" s="82"/>
      <c r="Z50" s="112"/>
      <c r="AA50" s="110"/>
      <c r="AB50" s="110"/>
      <c r="AC50" s="7"/>
      <c r="AD50" s="7"/>
      <c r="AE50" s="7"/>
      <c r="AF50" s="7"/>
    </row>
    <row r="51" spans="1:32">
      <c r="A51" s="110" t="s">
        <v>125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82"/>
      <c r="Y51" s="82"/>
      <c r="Z51" s="112"/>
      <c r="AA51" s="110"/>
      <c r="AB51" s="110"/>
      <c r="AC51" s="7"/>
      <c r="AD51" s="7"/>
      <c r="AE51" s="7"/>
      <c r="AF51" s="7"/>
    </row>
    <row r="52" spans="1:32">
      <c r="A52" s="110" t="s">
        <v>241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82"/>
      <c r="Y52" s="82"/>
      <c r="Z52" s="112"/>
      <c r="AA52" s="110"/>
      <c r="AB52" s="110"/>
      <c r="AC52" s="7"/>
      <c r="AD52" s="7"/>
      <c r="AE52" s="7"/>
      <c r="AF52" s="7"/>
    </row>
    <row r="53" spans="1:32">
      <c r="A53" s="110" t="s">
        <v>242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82"/>
      <c r="Y53" s="82"/>
      <c r="Z53" s="112"/>
      <c r="AA53" s="110"/>
      <c r="AB53" s="110"/>
      <c r="AC53" s="7"/>
      <c r="AD53" s="7"/>
      <c r="AE53" s="7"/>
      <c r="AF53" s="7"/>
    </row>
    <row r="54" spans="1:32">
      <c r="A54" s="110" t="s">
        <v>128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82"/>
      <c r="Y54" s="82"/>
      <c r="Z54" s="112"/>
      <c r="AA54" s="110"/>
      <c r="AB54" s="110"/>
      <c r="AC54" s="7"/>
      <c r="AD54" s="7"/>
      <c r="AE54" s="7"/>
      <c r="AF54" s="7"/>
    </row>
    <row r="55" spans="1:32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82"/>
      <c r="Y55" s="82"/>
      <c r="Z55" s="112"/>
      <c r="AA55" s="110"/>
      <c r="AB55" s="110"/>
      <c r="AC55" s="7"/>
      <c r="AD55" s="7"/>
      <c r="AE55" s="7"/>
      <c r="AF55" s="7"/>
    </row>
    <row r="56" spans="1:32" ht="15.75" thickBot="1">
      <c r="A56" s="12" t="s">
        <v>134</v>
      </c>
      <c r="B56" s="12" t="s">
        <v>135</v>
      </c>
      <c r="C56" s="12" t="s">
        <v>101</v>
      </c>
      <c r="D56" s="12" t="s">
        <v>115</v>
      </c>
      <c r="E56" s="12" t="s">
        <v>117</v>
      </c>
      <c r="F56" s="12" t="s">
        <v>138</v>
      </c>
      <c r="G56" s="12" t="s">
        <v>139</v>
      </c>
      <c r="H56" s="12" t="s">
        <v>140</v>
      </c>
      <c r="I56" s="12" t="s">
        <v>141</v>
      </c>
      <c r="J56" s="12" t="s">
        <v>142</v>
      </c>
      <c r="K56" s="12" t="s">
        <v>143</v>
      </c>
      <c r="L56" s="12" t="s">
        <v>144</v>
      </c>
      <c r="M56" s="12" t="s">
        <v>145</v>
      </c>
      <c r="N56" s="12" t="s">
        <v>146</v>
      </c>
      <c r="O56" s="12" t="s">
        <v>147</v>
      </c>
      <c r="P56" s="12" t="s">
        <v>148</v>
      </c>
      <c r="Q56" s="110"/>
      <c r="R56" s="110"/>
      <c r="S56" s="110"/>
      <c r="T56" s="110"/>
      <c r="U56" s="110"/>
      <c r="V56" s="110"/>
      <c r="W56" s="110"/>
      <c r="X56" s="82"/>
      <c r="Y56" s="82"/>
      <c r="Z56" s="112"/>
      <c r="AA56" s="110"/>
      <c r="AB56" s="110"/>
      <c r="AC56" s="7"/>
      <c r="AD56" s="7"/>
      <c r="AE56" s="7"/>
      <c r="AF56" s="7"/>
    </row>
    <row r="57" spans="1:32">
      <c r="A57" s="110" t="s">
        <v>243</v>
      </c>
      <c r="B57" s="110" t="s">
        <v>156</v>
      </c>
      <c r="C57" s="110" t="s">
        <v>116</v>
      </c>
      <c r="D57" s="110">
        <v>14</v>
      </c>
      <c r="E57" s="110">
        <v>11.75</v>
      </c>
      <c r="F57" s="110">
        <v>55</v>
      </c>
      <c r="G57" s="110">
        <v>65</v>
      </c>
      <c r="H57" s="110" t="s">
        <v>157</v>
      </c>
      <c r="I57" s="110">
        <v>0.73199999999999998</v>
      </c>
      <c r="J57" s="110">
        <v>0.249</v>
      </c>
      <c r="K57" s="110">
        <v>385.2</v>
      </c>
      <c r="L57" s="110">
        <v>0.29399999999999998</v>
      </c>
      <c r="M57" s="110">
        <v>0</v>
      </c>
      <c r="N57" s="110">
        <v>100</v>
      </c>
      <c r="O57" s="110" t="s">
        <v>165</v>
      </c>
      <c r="P57" s="110" t="s">
        <v>244</v>
      </c>
      <c r="Q57" s="80" t="s">
        <v>160</v>
      </c>
      <c r="R57" s="110"/>
      <c r="S57" s="110"/>
      <c r="T57" s="110"/>
      <c r="U57" s="110" t="s">
        <v>14</v>
      </c>
      <c r="V57" s="110">
        <f>IFERROR(MATCH(U57,'CostModel Coef'!$C$9:$C$13,0),0)</f>
        <v>3</v>
      </c>
      <c r="W57" s="110"/>
      <c r="X57" s="82">
        <f>IF(V57&gt;0,INDEX('CostModel Coef'!$D$9:$D$13,V57)+INDEX('CostModel Coef'!$E$9:$E$13,V57)+INDEX('CostModel Coef'!$G$9:$G$13,V57)*D57,0)</f>
        <v>1744.2172570000002</v>
      </c>
      <c r="Y57" s="82">
        <f>IF(V57&gt;0,INDEX('CostModel Coef'!$J$9:$J$13,V57),0)</f>
        <v>310.44</v>
      </c>
      <c r="Z57" s="112">
        <f>IF(V57&gt;0,INDEX('CostModel Coef'!$M$9:$M$13,V57),0)</f>
        <v>0.25</v>
      </c>
      <c r="AA57" s="110"/>
      <c r="AB57" s="110"/>
      <c r="AC57" s="42">
        <f t="shared" ref="AC57:AC97" si="2">+X57*(1+Z57)</f>
        <v>2180.2715712500003</v>
      </c>
      <c r="AD57" s="42">
        <f t="shared" ref="AD57:AD97" si="3">+Y57*(1+Z57)</f>
        <v>388.05</v>
      </c>
      <c r="AE57" s="9">
        <f>IF(V57&gt;0,INDEX('CostModel Coef'!$K$9:$K$13,V57),0)</f>
        <v>2</v>
      </c>
      <c r="AF57" s="9">
        <f>IF(V57&gt;0,INDEX('CostModel Coef'!$L$9:$L$13,V57),0)</f>
        <v>5</v>
      </c>
    </row>
    <row r="58" spans="1:32">
      <c r="A58" s="110" t="s">
        <v>245</v>
      </c>
      <c r="B58" s="110" t="s">
        <v>156</v>
      </c>
      <c r="C58" s="110" t="s">
        <v>116</v>
      </c>
      <c r="D58" s="110">
        <v>15</v>
      </c>
      <c r="E58" s="110">
        <v>12.58</v>
      </c>
      <c r="F58" s="110">
        <v>55</v>
      </c>
      <c r="G58" s="110">
        <v>65</v>
      </c>
      <c r="H58" s="110" t="s">
        <v>157</v>
      </c>
      <c r="I58" s="110">
        <v>0.73199999999999998</v>
      </c>
      <c r="J58" s="110">
        <v>0.23619999999999999</v>
      </c>
      <c r="K58" s="110">
        <v>385.2</v>
      </c>
      <c r="L58" s="110">
        <v>0.251</v>
      </c>
      <c r="M58" s="110">
        <v>0</v>
      </c>
      <c r="N58" s="110">
        <v>100</v>
      </c>
      <c r="O58" s="110" t="s">
        <v>165</v>
      </c>
      <c r="P58" s="110" t="s">
        <v>246</v>
      </c>
      <c r="Q58" s="80" t="s">
        <v>160</v>
      </c>
      <c r="R58" s="110"/>
      <c r="S58" s="110"/>
      <c r="T58" s="110"/>
      <c r="U58" s="110" t="s">
        <v>14</v>
      </c>
      <c r="V58" s="110">
        <f>IFERROR(MATCH(U58,'CostModel Coef'!$C$9:$C$13,0),0)</f>
        <v>3</v>
      </c>
      <c r="W58" s="110"/>
      <c r="X58" s="82">
        <f>IF(V58&gt;0,INDEX('CostModel Coef'!$D$9:$D$13,V58)+INDEX('CostModel Coef'!$E$9:$E$13,V58)+INDEX('CostModel Coef'!$G$9:$G$13,V58)*D58,0)</f>
        <v>2033.6272570000006</v>
      </c>
      <c r="Y58" s="82">
        <f>IF(V58&gt;0,INDEX('CostModel Coef'!$J$9:$J$13,V58),0)</f>
        <v>310.44</v>
      </c>
      <c r="Z58" s="112">
        <f>IF(V58&gt;0,INDEX('CostModel Coef'!$M$9:$M$13,V58),0)</f>
        <v>0.25</v>
      </c>
      <c r="AA58" s="110"/>
      <c r="AB58" s="110"/>
      <c r="AC58" s="42">
        <f t="shared" si="2"/>
        <v>2542.0340712500006</v>
      </c>
      <c r="AD58" s="42">
        <f t="shared" si="3"/>
        <v>388.05</v>
      </c>
      <c r="AE58" s="9">
        <f>IF(V58&gt;0,INDEX('CostModel Coef'!$K$9:$K$13,V58),0)</f>
        <v>2</v>
      </c>
      <c r="AF58" s="9">
        <f>IF(V58&gt;0,INDEX('CostModel Coef'!$L$9:$L$13,V58),0)</f>
        <v>5</v>
      </c>
    </row>
    <row r="59" spans="1:32">
      <c r="A59" s="110" t="s">
        <v>247</v>
      </c>
      <c r="B59" s="110" t="s">
        <v>156</v>
      </c>
      <c r="C59" s="110" t="s">
        <v>116</v>
      </c>
      <c r="D59" s="110">
        <v>16</v>
      </c>
      <c r="E59" s="110">
        <v>12.48</v>
      </c>
      <c r="F59" s="110">
        <v>55</v>
      </c>
      <c r="G59" s="110">
        <v>65</v>
      </c>
      <c r="H59" s="110" t="s">
        <v>157</v>
      </c>
      <c r="I59" s="110">
        <v>0.72399999999999998</v>
      </c>
      <c r="J59" s="110">
        <v>0.23810000000000001</v>
      </c>
      <c r="K59" s="110">
        <v>360</v>
      </c>
      <c r="L59" s="110">
        <v>0.27100000000000002</v>
      </c>
      <c r="M59" s="110">
        <v>0</v>
      </c>
      <c r="N59" s="110">
        <v>100</v>
      </c>
      <c r="O59" s="110" t="s">
        <v>165</v>
      </c>
      <c r="P59" s="110" t="s">
        <v>248</v>
      </c>
      <c r="Q59" s="80" t="s">
        <v>160</v>
      </c>
      <c r="R59" s="110"/>
      <c r="S59" s="110"/>
      <c r="T59" s="110"/>
      <c r="U59" s="110" t="s">
        <v>14</v>
      </c>
      <c r="V59" s="110">
        <f>IFERROR(MATCH(U59,'CostModel Coef'!$C$9:$C$13,0),0)</f>
        <v>3</v>
      </c>
      <c r="W59" s="110"/>
      <c r="X59" s="82">
        <f>IF(V59&gt;0,INDEX('CostModel Coef'!$D$9:$D$13,V59)+INDEX('CostModel Coef'!$E$9:$E$13,V59)+INDEX('CostModel Coef'!$G$9:$G$13,V59)*D59,0)</f>
        <v>2323.0372570000004</v>
      </c>
      <c r="Y59" s="82">
        <f>IF(V59&gt;0,INDEX('CostModel Coef'!$J$9:$J$13,V59),0)</f>
        <v>310.44</v>
      </c>
      <c r="Z59" s="112">
        <f>IF(V59&gt;0,INDEX('CostModel Coef'!$M$9:$M$13,V59),0)</f>
        <v>0.25</v>
      </c>
      <c r="AA59" s="110"/>
      <c r="AB59" s="110"/>
      <c r="AC59" s="42">
        <f t="shared" si="2"/>
        <v>2903.7965712500004</v>
      </c>
      <c r="AD59" s="42">
        <f t="shared" si="3"/>
        <v>388.05</v>
      </c>
      <c r="AE59" s="9">
        <f>IF(V59&gt;0,INDEX('CostModel Coef'!$K$9:$K$13,V59),0)</f>
        <v>2</v>
      </c>
      <c r="AF59" s="9">
        <f>IF(V59&gt;0,INDEX('CostModel Coef'!$L$9:$L$13,V59),0)</f>
        <v>5</v>
      </c>
    </row>
    <row r="60" spans="1:32">
      <c r="A60" s="110" t="s">
        <v>249</v>
      </c>
      <c r="B60" s="110" t="s">
        <v>156</v>
      </c>
      <c r="C60" s="110" t="s">
        <v>116</v>
      </c>
      <c r="D60" s="110">
        <v>17</v>
      </c>
      <c r="E60" s="110">
        <v>13.26</v>
      </c>
      <c r="F60" s="110">
        <v>55</v>
      </c>
      <c r="G60" s="110">
        <v>65</v>
      </c>
      <c r="H60" s="110" t="s">
        <v>157</v>
      </c>
      <c r="I60" s="110">
        <v>0.72399999999999998</v>
      </c>
      <c r="J60" s="110">
        <v>0.2225</v>
      </c>
      <c r="K60" s="110">
        <v>360</v>
      </c>
      <c r="L60" s="110">
        <v>0.27100000000000002</v>
      </c>
      <c r="M60" s="110">
        <v>0</v>
      </c>
      <c r="N60" s="110">
        <v>100</v>
      </c>
      <c r="O60" s="110" t="s">
        <v>165</v>
      </c>
      <c r="P60" s="110" t="s">
        <v>250</v>
      </c>
      <c r="Q60" s="80" t="s">
        <v>160</v>
      </c>
      <c r="R60" s="110"/>
      <c r="S60" s="110"/>
      <c r="T60" s="110"/>
      <c r="U60" s="110" t="s">
        <v>14</v>
      </c>
      <c r="V60" s="110">
        <f>IFERROR(MATCH(U60,'CostModel Coef'!$C$9:$C$13,0),0)</f>
        <v>3</v>
      </c>
      <c r="W60" s="110"/>
      <c r="X60" s="82">
        <f>IF(V60&gt;0,INDEX('CostModel Coef'!$D$9:$D$13,V60)+INDEX('CostModel Coef'!$E$9:$E$13,V60)+INDEX('CostModel Coef'!$G$9:$G$13,V60)*D60,0)</f>
        <v>2612.4472570000003</v>
      </c>
      <c r="Y60" s="82">
        <f>IF(V60&gt;0,INDEX('CostModel Coef'!$J$9:$J$13,V60),0)</f>
        <v>310.44</v>
      </c>
      <c r="Z60" s="112">
        <f>IF(V60&gt;0,INDEX('CostModel Coef'!$M$9:$M$13,V60),0)</f>
        <v>0.25</v>
      </c>
      <c r="AA60" s="110"/>
      <c r="AB60" s="110"/>
      <c r="AC60" s="42">
        <f t="shared" si="2"/>
        <v>3265.5590712500002</v>
      </c>
      <c r="AD60" s="42">
        <f t="shared" si="3"/>
        <v>388.05</v>
      </c>
      <c r="AE60" s="9">
        <f>IF(V60&gt;0,INDEX('CostModel Coef'!$K$9:$K$13,V60),0)</f>
        <v>2</v>
      </c>
      <c r="AF60" s="9">
        <f>IF(V60&gt;0,INDEX('CostModel Coef'!$L$9:$L$13,V60),0)</f>
        <v>5</v>
      </c>
    </row>
    <row r="61" spans="1:32">
      <c r="A61" s="110" t="s">
        <v>251</v>
      </c>
      <c r="B61" s="110" t="s">
        <v>156</v>
      </c>
      <c r="C61" s="110" t="s">
        <v>116</v>
      </c>
      <c r="D61" s="110">
        <v>18</v>
      </c>
      <c r="E61" s="110">
        <v>14.04</v>
      </c>
      <c r="F61" s="110">
        <v>55</v>
      </c>
      <c r="G61" s="110">
        <v>65</v>
      </c>
      <c r="H61" s="110" t="s">
        <v>157</v>
      </c>
      <c r="I61" s="110">
        <v>0.72399999999999998</v>
      </c>
      <c r="J61" s="110">
        <v>0.20860000000000001</v>
      </c>
      <c r="K61" s="110">
        <v>360</v>
      </c>
      <c r="L61" s="110">
        <v>0.27100000000000002</v>
      </c>
      <c r="M61" s="110">
        <v>0</v>
      </c>
      <c r="N61" s="110">
        <v>100</v>
      </c>
      <c r="O61" s="110" t="s">
        <v>165</v>
      </c>
      <c r="P61" s="110" t="s">
        <v>252</v>
      </c>
      <c r="Q61" s="80" t="s">
        <v>160</v>
      </c>
      <c r="R61" s="110"/>
      <c r="S61" s="110"/>
      <c r="T61" s="110"/>
      <c r="U61" s="110" t="s">
        <v>14</v>
      </c>
      <c r="V61" s="110">
        <f>IFERROR(MATCH(U61,'CostModel Coef'!$C$9:$C$13,0),0)</f>
        <v>3</v>
      </c>
      <c r="W61" s="110"/>
      <c r="X61" s="82">
        <f>IF(V61&gt;0,INDEX('CostModel Coef'!$D$9:$D$13,V61)+INDEX('CostModel Coef'!$E$9:$E$13,V61)+INDEX('CostModel Coef'!$G$9:$G$13,V61)*D61,0)</f>
        <v>2901.8572570000001</v>
      </c>
      <c r="Y61" s="82">
        <f>IF(V61&gt;0,INDEX('CostModel Coef'!$J$9:$J$13,V61),0)</f>
        <v>310.44</v>
      </c>
      <c r="Z61" s="112">
        <f>IF(V61&gt;0,INDEX('CostModel Coef'!$M$9:$M$13,V61),0)</f>
        <v>0.25</v>
      </c>
      <c r="AA61" s="110"/>
      <c r="AB61" s="110"/>
      <c r="AC61" s="42">
        <f t="shared" si="2"/>
        <v>3627.32157125</v>
      </c>
      <c r="AD61" s="42">
        <f t="shared" si="3"/>
        <v>388.05</v>
      </c>
      <c r="AE61" s="9">
        <f>IF(V61&gt;0,INDEX('CostModel Coef'!$K$9:$K$13,V61),0)</f>
        <v>2</v>
      </c>
      <c r="AF61" s="9">
        <f>IF(V61&gt;0,INDEX('CostModel Coef'!$L$9:$L$13,V61),0)</f>
        <v>5</v>
      </c>
    </row>
    <row r="62" spans="1:32">
      <c r="A62" s="110" t="s">
        <v>253</v>
      </c>
      <c r="B62" s="110" t="s">
        <v>156</v>
      </c>
      <c r="C62" s="110" t="s">
        <v>116</v>
      </c>
      <c r="D62" s="110">
        <v>14</v>
      </c>
      <c r="E62" s="110">
        <v>12.04</v>
      </c>
      <c r="F62" s="110">
        <v>18</v>
      </c>
      <c r="G62" s="110">
        <v>55</v>
      </c>
      <c r="H62" s="110" t="s">
        <v>157</v>
      </c>
      <c r="I62" s="110">
        <v>0.69320000000000004</v>
      </c>
      <c r="J62" s="110">
        <v>0.24560000000000001</v>
      </c>
      <c r="K62" s="110">
        <v>338.3</v>
      </c>
      <c r="L62" s="110">
        <v>0.29399999999999998</v>
      </c>
      <c r="M62" s="110">
        <v>0</v>
      </c>
      <c r="N62" s="110">
        <v>100</v>
      </c>
      <c r="O62" s="110" t="s">
        <v>158</v>
      </c>
      <c r="P62" s="110" t="s">
        <v>254</v>
      </c>
      <c r="Q62" s="80" t="s">
        <v>160</v>
      </c>
      <c r="R62" s="110"/>
      <c r="S62" s="110"/>
      <c r="T62" s="110"/>
      <c r="U62" s="110" t="s">
        <v>14</v>
      </c>
      <c r="V62" s="110">
        <f>IFERROR(MATCH(U62,'CostModel Coef'!$C$9:$C$13,0),0)</f>
        <v>3</v>
      </c>
      <c r="W62" s="110"/>
      <c r="X62" s="82">
        <f>IF(V62&gt;0,INDEX('CostModel Coef'!$D$9:$D$13,V62)+INDEX('CostModel Coef'!$E$9:$E$13,V62)+INDEX('CostModel Coef'!$G$9:$G$13,V62)*D62,0)</f>
        <v>1744.2172570000002</v>
      </c>
      <c r="Y62" s="82">
        <f>IF(V62&gt;0,INDEX('CostModel Coef'!$J$9:$J$13,V62),0)</f>
        <v>310.44</v>
      </c>
      <c r="Z62" s="112">
        <f>IF(V62&gt;0,INDEX('CostModel Coef'!$M$9:$M$13,V62),0)</f>
        <v>0.25</v>
      </c>
      <c r="AA62" s="110"/>
      <c r="AB62" s="110"/>
      <c r="AC62" s="42">
        <f t="shared" si="2"/>
        <v>2180.2715712500003</v>
      </c>
      <c r="AD62" s="42">
        <f t="shared" si="3"/>
        <v>388.05</v>
      </c>
      <c r="AE62" s="9">
        <f>IF(V62&gt;0,INDEX('CostModel Coef'!$K$9:$K$13,V62),0)</f>
        <v>2</v>
      </c>
      <c r="AF62" s="9">
        <f>IF(V62&gt;0,INDEX('CostModel Coef'!$L$9:$L$13,V62),0)</f>
        <v>5</v>
      </c>
    </row>
    <row r="63" spans="1:32">
      <c r="A63" s="110" t="s">
        <v>255</v>
      </c>
      <c r="B63" s="110" t="s">
        <v>156</v>
      </c>
      <c r="C63" s="110" t="s">
        <v>116</v>
      </c>
      <c r="D63" s="110">
        <v>15</v>
      </c>
      <c r="E63" s="110">
        <v>12.9</v>
      </c>
      <c r="F63" s="110">
        <v>18</v>
      </c>
      <c r="G63" s="110">
        <v>55</v>
      </c>
      <c r="H63" s="110" t="s">
        <v>157</v>
      </c>
      <c r="I63" s="110">
        <v>0.69320000000000004</v>
      </c>
      <c r="J63" s="110">
        <v>0.23400000000000001</v>
      </c>
      <c r="K63" s="110">
        <v>338.3</v>
      </c>
      <c r="L63" s="110">
        <v>0.251</v>
      </c>
      <c r="M63" s="110">
        <v>0</v>
      </c>
      <c r="N63" s="110">
        <v>100</v>
      </c>
      <c r="O63" s="110" t="s">
        <v>158</v>
      </c>
      <c r="P63" s="110" t="s">
        <v>256</v>
      </c>
      <c r="Q63" s="80" t="s">
        <v>160</v>
      </c>
      <c r="R63" s="110"/>
      <c r="S63" s="110"/>
      <c r="T63" s="110"/>
      <c r="U63" s="110" t="s">
        <v>14</v>
      </c>
      <c r="V63" s="110">
        <f>IFERROR(MATCH(U63,'CostModel Coef'!$C$9:$C$13,0),0)</f>
        <v>3</v>
      </c>
      <c r="W63" s="110"/>
      <c r="X63" s="82">
        <f>IF(V63&gt;0,INDEX('CostModel Coef'!$D$9:$D$13,V63)+INDEX('CostModel Coef'!$E$9:$E$13,V63)+INDEX('CostModel Coef'!$G$9:$G$13,V63)*D63,0)</f>
        <v>2033.6272570000006</v>
      </c>
      <c r="Y63" s="82">
        <f>IF(V63&gt;0,INDEX('CostModel Coef'!$J$9:$J$13,V63),0)</f>
        <v>310.44</v>
      </c>
      <c r="Z63" s="112">
        <f>IF(V63&gt;0,INDEX('CostModel Coef'!$M$9:$M$13,V63),0)</f>
        <v>0.25</v>
      </c>
      <c r="AA63" s="110"/>
      <c r="AB63" s="110"/>
      <c r="AC63" s="42">
        <f t="shared" si="2"/>
        <v>2542.0340712500006</v>
      </c>
      <c r="AD63" s="42">
        <f t="shared" si="3"/>
        <v>388.05</v>
      </c>
      <c r="AE63" s="9">
        <f>IF(V63&gt;0,INDEX('CostModel Coef'!$K$9:$K$13,V63),0)</f>
        <v>2</v>
      </c>
      <c r="AF63" s="9">
        <f>IF(V63&gt;0,INDEX('CostModel Coef'!$L$9:$L$13,V63),0)</f>
        <v>5</v>
      </c>
    </row>
    <row r="64" spans="1:32">
      <c r="A64" s="110" t="s">
        <v>257</v>
      </c>
      <c r="B64" s="110" t="s">
        <v>156</v>
      </c>
      <c r="C64" s="110" t="s">
        <v>116</v>
      </c>
      <c r="D64" s="110">
        <v>16</v>
      </c>
      <c r="E64" s="110">
        <v>12.48</v>
      </c>
      <c r="F64" s="110">
        <v>18</v>
      </c>
      <c r="G64" s="110">
        <v>55</v>
      </c>
      <c r="H64" s="110" t="s">
        <v>157</v>
      </c>
      <c r="I64" s="110">
        <v>0.72399999999999998</v>
      </c>
      <c r="J64" s="110">
        <v>0.23810000000000001</v>
      </c>
      <c r="K64" s="110">
        <v>360</v>
      </c>
      <c r="L64" s="110">
        <v>0.27100000000000002</v>
      </c>
      <c r="M64" s="110">
        <v>0</v>
      </c>
      <c r="N64" s="110">
        <v>100</v>
      </c>
      <c r="O64" s="110" t="s">
        <v>165</v>
      </c>
      <c r="P64" s="110" t="s">
        <v>258</v>
      </c>
      <c r="Q64" s="80" t="s">
        <v>160</v>
      </c>
      <c r="R64" s="110"/>
      <c r="S64" s="110"/>
      <c r="T64" s="110"/>
      <c r="U64" s="110" t="s">
        <v>14</v>
      </c>
      <c r="V64" s="110">
        <f>IFERROR(MATCH(U64,'CostModel Coef'!$C$9:$C$13,0),0)</f>
        <v>3</v>
      </c>
      <c r="W64" s="110"/>
      <c r="X64" s="82">
        <f>IF(V64&gt;0,INDEX('CostModel Coef'!$D$9:$D$13,V64)+INDEX('CostModel Coef'!$E$9:$E$13,V64)+INDEX('CostModel Coef'!$G$9:$G$13,V64)*D64,0)</f>
        <v>2323.0372570000004</v>
      </c>
      <c r="Y64" s="82">
        <f>IF(V64&gt;0,INDEX('CostModel Coef'!$J$9:$J$13,V64),0)</f>
        <v>310.44</v>
      </c>
      <c r="Z64" s="112">
        <f>IF(V64&gt;0,INDEX('CostModel Coef'!$M$9:$M$13,V64),0)</f>
        <v>0.25</v>
      </c>
      <c r="AA64" s="110"/>
      <c r="AB64" s="110"/>
      <c r="AC64" s="42">
        <f t="shared" si="2"/>
        <v>2903.7965712500004</v>
      </c>
      <c r="AD64" s="42">
        <f t="shared" si="3"/>
        <v>388.05</v>
      </c>
      <c r="AE64" s="9">
        <f>IF(V64&gt;0,INDEX('CostModel Coef'!$K$9:$K$13,V64),0)</f>
        <v>2</v>
      </c>
      <c r="AF64" s="9">
        <f>IF(V64&gt;0,INDEX('CostModel Coef'!$L$9:$L$13,V64),0)</f>
        <v>5</v>
      </c>
    </row>
    <row r="65" spans="1:32">
      <c r="A65" s="110" t="s">
        <v>259</v>
      </c>
      <c r="B65" s="110" t="s">
        <v>156</v>
      </c>
      <c r="C65" s="110" t="s">
        <v>116</v>
      </c>
      <c r="D65" s="110">
        <v>17</v>
      </c>
      <c r="E65" s="110">
        <v>13.26</v>
      </c>
      <c r="F65" s="110">
        <v>18</v>
      </c>
      <c r="G65" s="110">
        <v>55</v>
      </c>
      <c r="H65" s="110" t="s">
        <v>157</v>
      </c>
      <c r="I65" s="110">
        <v>0.72399999999999998</v>
      </c>
      <c r="J65" s="110">
        <v>0.2225</v>
      </c>
      <c r="K65" s="110">
        <v>360</v>
      </c>
      <c r="L65" s="110">
        <v>0.27100000000000002</v>
      </c>
      <c r="M65" s="110">
        <v>0</v>
      </c>
      <c r="N65" s="110">
        <v>100</v>
      </c>
      <c r="O65" s="110" t="s">
        <v>165</v>
      </c>
      <c r="P65" s="110" t="s">
        <v>260</v>
      </c>
      <c r="Q65" s="80" t="s">
        <v>160</v>
      </c>
      <c r="R65" s="110"/>
      <c r="S65" s="110"/>
      <c r="T65" s="110"/>
      <c r="U65" s="110" t="s">
        <v>14</v>
      </c>
      <c r="V65" s="110">
        <f>IFERROR(MATCH(U65,'CostModel Coef'!$C$9:$C$13,0),0)</f>
        <v>3</v>
      </c>
      <c r="W65" s="110"/>
      <c r="X65" s="82">
        <f>IF(V65&gt;0,INDEX('CostModel Coef'!$D$9:$D$13,V65)+INDEX('CostModel Coef'!$E$9:$E$13,V65)+INDEX('CostModel Coef'!$G$9:$G$13,V65)*D65,0)</f>
        <v>2612.4472570000003</v>
      </c>
      <c r="Y65" s="82">
        <f>IF(V65&gt;0,INDEX('CostModel Coef'!$J$9:$J$13,V65),0)</f>
        <v>310.44</v>
      </c>
      <c r="Z65" s="112">
        <f>IF(V65&gt;0,INDEX('CostModel Coef'!$M$9:$M$13,V65),0)</f>
        <v>0.25</v>
      </c>
      <c r="AA65" s="110"/>
      <c r="AB65" s="110"/>
      <c r="AC65" s="42">
        <f t="shared" si="2"/>
        <v>3265.5590712500002</v>
      </c>
      <c r="AD65" s="42">
        <f t="shared" si="3"/>
        <v>388.05</v>
      </c>
      <c r="AE65" s="9">
        <f>IF(V65&gt;0,INDEX('CostModel Coef'!$K$9:$K$13,V65),0)</f>
        <v>2</v>
      </c>
      <c r="AF65" s="9">
        <f>IF(V65&gt;0,INDEX('CostModel Coef'!$L$9:$L$13,V65),0)</f>
        <v>5</v>
      </c>
    </row>
    <row r="66" spans="1:32">
      <c r="A66" s="110" t="s">
        <v>261</v>
      </c>
      <c r="B66" s="110" t="s">
        <v>156</v>
      </c>
      <c r="C66" s="110" t="s">
        <v>116</v>
      </c>
      <c r="D66" s="110">
        <v>18</v>
      </c>
      <c r="E66" s="110">
        <v>14.04</v>
      </c>
      <c r="F66" s="110">
        <v>18</v>
      </c>
      <c r="G66" s="110">
        <v>55</v>
      </c>
      <c r="H66" s="110" t="s">
        <v>157</v>
      </c>
      <c r="I66" s="110">
        <v>0.72399999999999998</v>
      </c>
      <c r="J66" s="110">
        <v>0.20860000000000001</v>
      </c>
      <c r="K66" s="110">
        <v>360</v>
      </c>
      <c r="L66" s="110">
        <v>0.27100000000000002</v>
      </c>
      <c r="M66" s="110">
        <v>0</v>
      </c>
      <c r="N66" s="110">
        <v>100</v>
      </c>
      <c r="O66" s="110" t="s">
        <v>165</v>
      </c>
      <c r="P66" s="110" t="s">
        <v>262</v>
      </c>
      <c r="Q66" s="80" t="s">
        <v>160</v>
      </c>
      <c r="R66" s="110"/>
      <c r="S66" s="110"/>
      <c r="T66" s="110"/>
      <c r="U66" s="110" t="s">
        <v>14</v>
      </c>
      <c r="V66" s="110">
        <f>IFERROR(MATCH(U66,'CostModel Coef'!$C$9:$C$13,0),0)</f>
        <v>3</v>
      </c>
      <c r="W66" s="110"/>
      <c r="X66" s="82">
        <f>IF(V66&gt;0,INDEX('CostModel Coef'!$D$9:$D$13,V66)+INDEX('CostModel Coef'!$E$9:$E$13,V66)+INDEX('CostModel Coef'!$G$9:$G$13,V66)*D66,0)</f>
        <v>2901.8572570000001</v>
      </c>
      <c r="Y66" s="82">
        <f>IF(V66&gt;0,INDEX('CostModel Coef'!$J$9:$J$13,V66),0)</f>
        <v>310.44</v>
      </c>
      <c r="Z66" s="112">
        <f>IF(V66&gt;0,INDEX('CostModel Coef'!$M$9:$M$13,V66),0)</f>
        <v>0.25</v>
      </c>
      <c r="AA66" s="110"/>
      <c r="AB66" s="110"/>
      <c r="AC66" s="42">
        <f t="shared" si="2"/>
        <v>3627.32157125</v>
      </c>
      <c r="AD66" s="42">
        <f t="shared" si="3"/>
        <v>388.05</v>
      </c>
      <c r="AE66" s="9">
        <f>IF(V66&gt;0,INDEX('CostModel Coef'!$K$9:$K$13,V66),0)</f>
        <v>2</v>
      </c>
      <c r="AF66" s="9">
        <f>IF(V66&gt;0,INDEX('CostModel Coef'!$L$9:$L$13,V66),0)</f>
        <v>5</v>
      </c>
    </row>
    <row r="67" spans="1:32">
      <c r="A67" s="110" t="s">
        <v>263</v>
      </c>
      <c r="B67" s="110" t="s">
        <v>156</v>
      </c>
      <c r="C67" s="110" t="s">
        <v>116</v>
      </c>
      <c r="D67" s="110">
        <v>9.6999999999999993</v>
      </c>
      <c r="E67" s="110">
        <v>9.2129999999999992</v>
      </c>
      <c r="F67" s="110">
        <v>18</v>
      </c>
      <c r="G67" s="110">
        <v>65</v>
      </c>
      <c r="H67" s="110" t="s">
        <v>157</v>
      </c>
      <c r="I67" s="110">
        <v>0.69750000000000001</v>
      </c>
      <c r="J67" s="110">
        <v>0.29709999999999998</v>
      </c>
      <c r="K67" s="110">
        <v>372.4</v>
      </c>
      <c r="L67" s="110">
        <v>0.4325</v>
      </c>
      <c r="M67" s="110">
        <v>0</v>
      </c>
      <c r="N67" s="110">
        <v>100</v>
      </c>
      <c r="O67" s="110" t="s">
        <v>158</v>
      </c>
      <c r="P67" s="110" t="s">
        <v>264</v>
      </c>
      <c r="Q67" s="80" t="s">
        <v>160</v>
      </c>
      <c r="R67" s="110"/>
      <c r="S67" s="110"/>
      <c r="T67" s="110"/>
      <c r="U67" s="110" t="s">
        <v>161</v>
      </c>
      <c r="V67" s="110">
        <f>IFERROR(MATCH(U67,'CostModel Coef'!$C$9:$C$13,0),0)</f>
        <v>0</v>
      </c>
      <c r="W67" s="110"/>
      <c r="X67" s="82">
        <f>IF(V67&gt;0,INDEX('CostModel Coef'!$D$9:$D$13,V67)+INDEX('CostModel Coef'!$E$9:$E$13,V67)+INDEX('CostModel Coef'!$G$9:$G$13,V67)*D67,0)</f>
        <v>0</v>
      </c>
      <c r="Y67" s="82">
        <f>IF(V67&gt;0,INDEX('CostModel Coef'!$J$9:$J$13,V67),0)</f>
        <v>0</v>
      </c>
      <c r="Z67" s="112">
        <f>IF(V67&gt;0,INDEX('CostModel Coef'!$M$9:$M$13,V67),0)</f>
        <v>0</v>
      </c>
      <c r="AA67" s="110"/>
      <c r="AB67" s="110"/>
      <c r="AC67" s="42">
        <f t="shared" si="2"/>
        <v>0</v>
      </c>
      <c r="AD67" s="42">
        <f t="shared" si="3"/>
        <v>0</v>
      </c>
      <c r="AE67" s="9">
        <f>IF(V67&gt;0,INDEX('CostModel Coef'!$K$9:$K$13,V67),0)</f>
        <v>0</v>
      </c>
      <c r="AF67" s="9">
        <f>IF(V67&gt;0,INDEX('CostModel Coef'!$L$9:$L$13,V67),0)</f>
        <v>0</v>
      </c>
    </row>
    <row r="68" spans="1:32">
      <c r="A68" s="110" t="s">
        <v>265</v>
      </c>
      <c r="B68" s="110" t="s">
        <v>156</v>
      </c>
      <c r="C68" s="110" t="s">
        <v>116</v>
      </c>
      <c r="D68" s="110">
        <v>13</v>
      </c>
      <c r="E68" s="110">
        <v>11.06</v>
      </c>
      <c r="F68" s="110">
        <v>18</v>
      </c>
      <c r="G68" s="110">
        <v>65</v>
      </c>
      <c r="H68" s="110" t="s">
        <v>157</v>
      </c>
      <c r="I68" s="110">
        <v>0.73199999999999998</v>
      </c>
      <c r="J68" s="110">
        <v>0.25569999999999998</v>
      </c>
      <c r="K68" s="110">
        <v>376.2</v>
      </c>
      <c r="L68" s="110">
        <v>0.3785</v>
      </c>
      <c r="M68" s="110">
        <v>0</v>
      </c>
      <c r="N68" s="110">
        <v>100</v>
      </c>
      <c r="O68" s="110" t="s">
        <v>158</v>
      </c>
      <c r="P68" s="110" t="s">
        <v>266</v>
      </c>
      <c r="Q68" s="80" t="s">
        <v>160</v>
      </c>
      <c r="R68" s="110"/>
      <c r="S68" s="110"/>
      <c r="T68" s="110"/>
      <c r="U68" s="110" t="s">
        <v>161</v>
      </c>
      <c r="V68" s="110">
        <f>IFERROR(MATCH(U68,'CostModel Coef'!$C$9:$C$13,0),0)</f>
        <v>0</v>
      </c>
      <c r="W68" s="110"/>
      <c r="X68" s="82">
        <f>IF(V68&gt;0,INDEX('CostModel Coef'!$D$9:$D$13,V68)+INDEX('CostModel Coef'!$E$9:$E$13,V68)+INDEX('CostModel Coef'!$G$9:$G$13,V68)*D68,0)</f>
        <v>0</v>
      </c>
      <c r="Y68" s="82">
        <f>IF(V68&gt;0,INDEX('CostModel Coef'!$J$9:$J$13,V68),0)</f>
        <v>0</v>
      </c>
      <c r="Z68" s="112">
        <f>IF(V68&gt;0,INDEX('CostModel Coef'!$M$9:$M$13,V68),0)</f>
        <v>0</v>
      </c>
      <c r="AA68" s="110"/>
      <c r="AB68" s="110"/>
      <c r="AC68" s="42">
        <f t="shared" si="2"/>
        <v>0</v>
      </c>
      <c r="AD68" s="42">
        <f t="shared" si="3"/>
        <v>0</v>
      </c>
      <c r="AE68" s="9">
        <f>IF(V68&gt;0,INDEX('CostModel Coef'!$K$9:$K$13,V68),0)</f>
        <v>0</v>
      </c>
      <c r="AF68" s="9">
        <f>IF(V68&gt;0,INDEX('CostModel Coef'!$L$9:$L$13,V68),0)</f>
        <v>0</v>
      </c>
    </row>
    <row r="69" spans="1:32">
      <c r="A69" s="110" t="s">
        <v>267</v>
      </c>
      <c r="B69" s="110" t="s">
        <v>156</v>
      </c>
      <c r="C69" s="110" t="s">
        <v>116</v>
      </c>
      <c r="D69" s="110">
        <v>14</v>
      </c>
      <c r="E69" s="110">
        <v>11.82</v>
      </c>
      <c r="F69" s="110">
        <v>45</v>
      </c>
      <c r="G69" s="110">
        <v>55</v>
      </c>
      <c r="H69" s="110" t="s">
        <v>157</v>
      </c>
      <c r="I69" s="110">
        <v>0.75919999999999999</v>
      </c>
      <c r="J69" s="110">
        <v>0.24660000000000001</v>
      </c>
      <c r="K69" s="110">
        <v>391.6</v>
      </c>
      <c r="L69" s="110">
        <v>0.29399999999999998</v>
      </c>
      <c r="M69" s="110">
        <v>0</v>
      </c>
      <c r="N69" s="110">
        <v>100</v>
      </c>
      <c r="O69" s="110" t="s">
        <v>158</v>
      </c>
      <c r="P69" s="110" t="s">
        <v>268</v>
      </c>
      <c r="Q69" s="80" t="s">
        <v>160</v>
      </c>
      <c r="R69" s="110"/>
      <c r="S69" s="110"/>
      <c r="T69" s="110"/>
      <c r="U69" s="110" t="s">
        <v>12</v>
      </c>
      <c r="V69" s="110">
        <f>IFERROR(MATCH(U69,'CostModel Coef'!$C$9:$C$13,0),0)</f>
        <v>2</v>
      </c>
      <c r="W69" s="110"/>
      <c r="X69" s="82">
        <f>IF(V69&gt;0,INDEX('CostModel Coef'!$D$9:$D$13,V69)+INDEX('CostModel Coef'!$E$9:$E$13,V69)+INDEX('CostModel Coef'!$G$9:$G$13,V69)*D69,0)</f>
        <v>459.44900000000007</v>
      </c>
      <c r="Y69" s="82">
        <f>IF(V69&gt;0,INDEX('CostModel Coef'!$J$9:$J$13,V69),0)</f>
        <v>276.012</v>
      </c>
      <c r="Z69" s="112">
        <f>IF(V69&gt;0,INDEX('CostModel Coef'!$M$9:$M$13,V69),0)</f>
        <v>0.2</v>
      </c>
      <c r="AA69" s="110"/>
      <c r="AB69" s="110"/>
      <c r="AC69" s="42">
        <f t="shared" si="2"/>
        <v>551.33880000000011</v>
      </c>
      <c r="AD69" s="42">
        <f t="shared" si="3"/>
        <v>331.21440000000001</v>
      </c>
      <c r="AE69" s="9">
        <f>IF(V69&gt;0,INDEX('CostModel Coef'!$K$9:$K$13,V69),0)</f>
        <v>1.4166666666666667</v>
      </c>
      <c r="AF69" s="9">
        <f>IF(V69&gt;0,INDEX('CostModel Coef'!$L$9:$L$13,V69),0)</f>
        <v>4.833333333333333</v>
      </c>
    </row>
    <row r="70" spans="1:32">
      <c r="A70" s="110" t="s">
        <v>269</v>
      </c>
      <c r="B70" s="110" t="s">
        <v>156</v>
      </c>
      <c r="C70" s="110" t="s">
        <v>116</v>
      </c>
      <c r="D70" s="110">
        <v>15</v>
      </c>
      <c r="E70" s="110">
        <v>12.78</v>
      </c>
      <c r="F70" s="110">
        <v>45</v>
      </c>
      <c r="G70" s="110">
        <v>55</v>
      </c>
      <c r="H70" s="110" t="s">
        <v>157</v>
      </c>
      <c r="I70" s="110">
        <v>0.74399999999999999</v>
      </c>
      <c r="J70" s="110">
        <v>0.23219999999999999</v>
      </c>
      <c r="K70" s="110">
        <v>385.2</v>
      </c>
      <c r="L70" s="110">
        <v>0.251</v>
      </c>
      <c r="M70" s="110">
        <v>0</v>
      </c>
      <c r="N70" s="110">
        <v>100</v>
      </c>
      <c r="O70" s="110" t="s">
        <v>158</v>
      </c>
      <c r="P70" s="110" t="s">
        <v>270</v>
      </c>
      <c r="Q70" s="80" t="s">
        <v>160</v>
      </c>
      <c r="R70" s="110"/>
      <c r="S70" s="110"/>
      <c r="T70" s="110"/>
      <c r="U70" s="110" t="s">
        <v>12</v>
      </c>
      <c r="V70" s="110">
        <f>IFERROR(MATCH(U70,'CostModel Coef'!$C$9:$C$13,0),0)</f>
        <v>2</v>
      </c>
      <c r="W70" s="110"/>
      <c r="X70" s="82">
        <f>IF(V70&gt;0,INDEX('CostModel Coef'!$D$9:$D$13,V70)+INDEX('CostModel Coef'!$E$9:$E$13,V70)+INDEX('CostModel Coef'!$G$9:$G$13,V70)*D70,0)</f>
        <v>689.76899999999978</v>
      </c>
      <c r="Y70" s="82">
        <f>IF(V70&gt;0,INDEX('CostModel Coef'!$J$9:$J$13,V70),0)</f>
        <v>276.012</v>
      </c>
      <c r="Z70" s="112">
        <f>IF(V70&gt;0,INDEX('CostModel Coef'!$M$9:$M$13,V70),0)</f>
        <v>0.2</v>
      </c>
      <c r="AA70" s="110"/>
      <c r="AB70" s="110"/>
      <c r="AC70" s="42">
        <f t="shared" si="2"/>
        <v>827.72279999999967</v>
      </c>
      <c r="AD70" s="42">
        <f t="shared" si="3"/>
        <v>331.21440000000001</v>
      </c>
      <c r="AE70" s="9">
        <f>IF(V70&gt;0,INDEX('CostModel Coef'!$K$9:$K$13,V70),0)</f>
        <v>1.4166666666666667</v>
      </c>
      <c r="AF70" s="9">
        <f>IF(V70&gt;0,INDEX('CostModel Coef'!$L$9:$L$13,V70),0)</f>
        <v>4.833333333333333</v>
      </c>
    </row>
    <row r="71" spans="1:32">
      <c r="A71" s="110" t="s">
        <v>271</v>
      </c>
      <c r="B71" s="110" t="s">
        <v>156</v>
      </c>
      <c r="C71" s="110" t="s">
        <v>116</v>
      </c>
      <c r="D71" s="110">
        <v>16</v>
      </c>
      <c r="E71" s="110">
        <v>12.48</v>
      </c>
      <c r="F71" s="110">
        <v>45</v>
      </c>
      <c r="G71" s="110">
        <v>55</v>
      </c>
      <c r="H71" s="110" t="s">
        <v>157</v>
      </c>
      <c r="I71" s="110">
        <v>0.72399999999999998</v>
      </c>
      <c r="J71" s="110">
        <v>0.23810000000000001</v>
      </c>
      <c r="K71" s="110">
        <v>360</v>
      </c>
      <c r="L71" s="110">
        <v>0.27100000000000002</v>
      </c>
      <c r="M71" s="110">
        <v>0</v>
      </c>
      <c r="N71" s="110">
        <v>100</v>
      </c>
      <c r="O71" s="110" t="s">
        <v>165</v>
      </c>
      <c r="P71" s="110" t="s">
        <v>272</v>
      </c>
      <c r="Q71" s="80" t="s">
        <v>160</v>
      </c>
      <c r="R71" s="110"/>
      <c r="S71" s="110"/>
      <c r="T71" s="110"/>
      <c r="U71" s="110" t="s">
        <v>12</v>
      </c>
      <c r="V71" s="110">
        <f>IFERROR(MATCH(U71,'CostModel Coef'!$C$9:$C$13,0),0)</f>
        <v>2</v>
      </c>
      <c r="W71" s="110"/>
      <c r="X71" s="82">
        <f>IF(V71&gt;0,INDEX('CostModel Coef'!$D$9:$D$13,V71)+INDEX('CostModel Coef'!$E$9:$E$13,V71)+INDEX('CostModel Coef'!$G$9:$G$13,V71)*D71,0)</f>
        <v>920.08899999999994</v>
      </c>
      <c r="Y71" s="82">
        <f>IF(V71&gt;0,INDEX('CostModel Coef'!$J$9:$J$13,V71),0)</f>
        <v>276.012</v>
      </c>
      <c r="Z71" s="112">
        <f>IF(V71&gt;0,INDEX('CostModel Coef'!$M$9:$M$13,V71),0)</f>
        <v>0.2</v>
      </c>
      <c r="AA71" s="110"/>
      <c r="AB71" s="110"/>
      <c r="AC71" s="42">
        <f t="shared" si="2"/>
        <v>1104.1067999999998</v>
      </c>
      <c r="AD71" s="42">
        <f t="shared" si="3"/>
        <v>331.21440000000001</v>
      </c>
      <c r="AE71" s="9">
        <f>IF(V71&gt;0,INDEX('CostModel Coef'!$K$9:$K$13,V71),0)</f>
        <v>1.4166666666666667</v>
      </c>
      <c r="AF71" s="9">
        <f>IF(V71&gt;0,INDEX('CostModel Coef'!$L$9:$L$13,V71),0)</f>
        <v>4.833333333333333</v>
      </c>
    </row>
    <row r="72" spans="1:32">
      <c r="A72" s="110" t="s">
        <v>273</v>
      </c>
      <c r="B72" s="110" t="s">
        <v>156</v>
      </c>
      <c r="C72" s="110" t="s">
        <v>116</v>
      </c>
      <c r="D72" s="110">
        <v>17</v>
      </c>
      <c r="E72" s="110">
        <v>13.26</v>
      </c>
      <c r="F72" s="110">
        <v>45</v>
      </c>
      <c r="G72" s="110">
        <v>55</v>
      </c>
      <c r="H72" s="110" t="s">
        <v>157</v>
      </c>
      <c r="I72" s="110">
        <v>0.72399999999999998</v>
      </c>
      <c r="J72" s="110">
        <v>0.2225</v>
      </c>
      <c r="K72" s="110">
        <v>360</v>
      </c>
      <c r="L72" s="110">
        <v>0.27100000000000002</v>
      </c>
      <c r="M72" s="110">
        <v>0</v>
      </c>
      <c r="N72" s="110">
        <v>100</v>
      </c>
      <c r="O72" s="110" t="s">
        <v>165</v>
      </c>
      <c r="P72" s="110" t="s">
        <v>274</v>
      </c>
      <c r="Q72" s="80" t="s">
        <v>160</v>
      </c>
      <c r="R72" s="110"/>
      <c r="S72" s="110"/>
      <c r="T72" s="110"/>
      <c r="U72" s="110" t="s">
        <v>12</v>
      </c>
      <c r="V72" s="110">
        <f>IFERROR(MATCH(U72,'CostModel Coef'!$C$9:$C$13,0),0)</f>
        <v>2</v>
      </c>
      <c r="W72" s="110"/>
      <c r="X72" s="82">
        <f>IF(V72&gt;0,INDEX('CostModel Coef'!$D$9:$D$13,V72)+INDEX('CostModel Coef'!$E$9:$E$13,V72)+INDEX('CostModel Coef'!$G$9:$G$13,V72)*D72,0)</f>
        <v>1150.4090000000001</v>
      </c>
      <c r="Y72" s="82">
        <f>IF(V72&gt;0,INDEX('CostModel Coef'!$J$9:$J$13,V72),0)</f>
        <v>276.012</v>
      </c>
      <c r="Z72" s="112">
        <f>IF(V72&gt;0,INDEX('CostModel Coef'!$M$9:$M$13,V72),0)</f>
        <v>0.2</v>
      </c>
      <c r="AA72" s="110"/>
      <c r="AB72" s="110"/>
      <c r="AC72" s="42">
        <f t="shared" si="2"/>
        <v>1380.4908</v>
      </c>
      <c r="AD72" s="42">
        <f t="shared" si="3"/>
        <v>331.21440000000001</v>
      </c>
      <c r="AE72" s="9">
        <f>IF(V72&gt;0,INDEX('CostModel Coef'!$K$9:$K$13,V72),0)</f>
        <v>1.4166666666666667</v>
      </c>
      <c r="AF72" s="9">
        <f>IF(V72&gt;0,INDEX('CostModel Coef'!$L$9:$L$13,V72),0)</f>
        <v>4.833333333333333</v>
      </c>
    </row>
    <row r="73" spans="1:32">
      <c r="A73" s="110" t="s">
        <v>275</v>
      </c>
      <c r="B73" s="110" t="s">
        <v>156</v>
      </c>
      <c r="C73" s="110" t="s">
        <v>116</v>
      </c>
      <c r="D73" s="110">
        <v>18</v>
      </c>
      <c r="E73" s="110">
        <v>14.04</v>
      </c>
      <c r="F73" s="110">
        <v>45</v>
      </c>
      <c r="G73" s="110">
        <v>55</v>
      </c>
      <c r="H73" s="110" t="s">
        <v>157</v>
      </c>
      <c r="I73" s="110">
        <v>0.72399999999999998</v>
      </c>
      <c r="J73" s="110">
        <v>0.20860000000000001</v>
      </c>
      <c r="K73" s="110">
        <v>360</v>
      </c>
      <c r="L73" s="110">
        <v>0.27100000000000002</v>
      </c>
      <c r="M73" s="110">
        <v>0</v>
      </c>
      <c r="N73" s="110">
        <v>100</v>
      </c>
      <c r="O73" s="110" t="s">
        <v>165</v>
      </c>
      <c r="P73" s="110" t="s">
        <v>276</v>
      </c>
      <c r="Q73" s="80" t="s">
        <v>160</v>
      </c>
      <c r="R73" s="110"/>
      <c r="S73" s="110"/>
      <c r="T73" s="110"/>
      <c r="U73" s="110" t="s">
        <v>12</v>
      </c>
      <c r="V73" s="110">
        <f>IFERROR(MATCH(U73,'CostModel Coef'!$C$9:$C$13,0),0)</f>
        <v>2</v>
      </c>
      <c r="W73" s="110"/>
      <c r="X73" s="82">
        <f>IF(V73&gt;0,INDEX('CostModel Coef'!$D$9:$D$13,V73)+INDEX('CostModel Coef'!$E$9:$E$13,V73)+INDEX('CostModel Coef'!$G$9:$G$13,V73)*D73,0)</f>
        <v>1380.7290000000003</v>
      </c>
      <c r="Y73" s="82">
        <f>IF(V73&gt;0,INDEX('CostModel Coef'!$J$9:$J$13,V73),0)</f>
        <v>276.012</v>
      </c>
      <c r="Z73" s="112">
        <f>IF(V73&gt;0,INDEX('CostModel Coef'!$M$9:$M$13,V73),0)</f>
        <v>0.2</v>
      </c>
      <c r="AA73" s="110"/>
      <c r="AB73" s="110"/>
      <c r="AC73" s="42">
        <f t="shared" si="2"/>
        <v>1656.8748000000003</v>
      </c>
      <c r="AD73" s="42">
        <f t="shared" si="3"/>
        <v>331.21440000000001</v>
      </c>
      <c r="AE73" s="9">
        <f>IF(V73&gt;0,INDEX('CostModel Coef'!$K$9:$K$13,V73),0)</f>
        <v>1.4166666666666667</v>
      </c>
      <c r="AF73" s="9">
        <f>IF(V73&gt;0,INDEX('CostModel Coef'!$L$9:$L$13,V73),0)</f>
        <v>4.833333333333333</v>
      </c>
    </row>
    <row r="74" spans="1:32">
      <c r="A74" s="110" t="s">
        <v>277</v>
      </c>
      <c r="B74" s="110" t="s">
        <v>156</v>
      </c>
      <c r="C74" s="110" t="s">
        <v>116</v>
      </c>
      <c r="D74" s="110">
        <v>14</v>
      </c>
      <c r="E74" s="110">
        <v>11.75</v>
      </c>
      <c r="F74" s="110">
        <v>55</v>
      </c>
      <c r="G74" s="110">
        <v>65</v>
      </c>
      <c r="H74" s="110" t="s">
        <v>157</v>
      </c>
      <c r="I74" s="110">
        <v>0.73199999999999998</v>
      </c>
      <c r="J74" s="110">
        <v>0.249</v>
      </c>
      <c r="K74" s="110">
        <v>385.2</v>
      </c>
      <c r="L74" s="110">
        <v>0.29399999999999998</v>
      </c>
      <c r="M74" s="110">
        <v>0</v>
      </c>
      <c r="N74" s="110">
        <v>100</v>
      </c>
      <c r="O74" s="110" t="s">
        <v>165</v>
      </c>
      <c r="P74" s="110" t="s">
        <v>278</v>
      </c>
      <c r="Q74" s="80" t="s">
        <v>160</v>
      </c>
      <c r="R74" s="110"/>
      <c r="S74" s="110"/>
      <c r="T74" s="110"/>
      <c r="U74" s="110" t="s">
        <v>12</v>
      </c>
      <c r="V74" s="110">
        <f>IFERROR(MATCH(U74,'CostModel Coef'!$C$9:$C$13,0),0)</f>
        <v>2</v>
      </c>
      <c r="W74" s="110"/>
      <c r="X74" s="82">
        <f>IF(V74&gt;0,INDEX('CostModel Coef'!$D$9:$D$13,V74)+INDEX('CostModel Coef'!$E$9:$E$13,V74)+INDEX('CostModel Coef'!$G$9:$G$13,V74)*D74,0)</f>
        <v>459.44900000000007</v>
      </c>
      <c r="Y74" s="82">
        <f>IF(V74&gt;0,INDEX('CostModel Coef'!$J$9:$J$13,V74),0)</f>
        <v>276.012</v>
      </c>
      <c r="Z74" s="112">
        <f>IF(V74&gt;0,INDEX('CostModel Coef'!$M$9:$M$13,V74),0)</f>
        <v>0.2</v>
      </c>
      <c r="AA74" s="110"/>
      <c r="AB74" s="110"/>
      <c r="AC74" s="42">
        <f t="shared" si="2"/>
        <v>551.33880000000011</v>
      </c>
      <c r="AD74" s="42">
        <f t="shared" si="3"/>
        <v>331.21440000000001</v>
      </c>
      <c r="AE74" s="9">
        <f>IF(V74&gt;0,INDEX('CostModel Coef'!$K$9:$K$13,V74),0)</f>
        <v>1.4166666666666667</v>
      </c>
      <c r="AF74" s="9">
        <f>IF(V74&gt;0,INDEX('CostModel Coef'!$L$9:$L$13,V74),0)</f>
        <v>4.833333333333333</v>
      </c>
    </row>
    <row r="75" spans="1:32">
      <c r="A75" s="110" t="s">
        <v>279</v>
      </c>
      <c r="B75" s="110" t="s">
        <v>156</v>
      </c>
      <c r="C75" s="110" t="s">
        <v>116</v>
      </c>
      <c r="D75" s="110">
        <v>15</v>
      </c>
      <c r="E75" s="110">
        <v>12.58</v>
      </c>
      <c r="F75" s="110">
        <v>55</v>
      </c>
      <c r="G75" s="110">
        <v>65</v>
      </c>
      <c r="H75" s="110" t="s">
        <v>157</v>
      </c>
      <c r="I75" s="110">
        <v>0.73199999999999998</v>
      </c>
      <c r="J75" s="110">
        <v>0.23619999999999999</v>
      </c>
      <c r="K75" s="110">
        <v>385.2</v>
      </c>
      <c r="L75" s="110">
        <v>0.251</v>
      </c>
      <c r="M75" s="110">
        <v>0</v>
      </c>
      <c r="N75" s="110">
        <v>100</v>
      </c>
      <c r="O75" s="110" t="s">
        <v>165</v>
      </c>
      <c r="P75" s="110" t="s">
        <v>280</v>
      </c>
      <c r="Q75" s="80" t="s">
        <v>160</v>
      </c>
      <c r="R75" s="110"/>
      <c r="S75" s="110"/>
      <c r="T75" s="110"/>
      <c r="U75" s="110" t="s">
        <v>12</v>
      </c>
      <c r="V75" s="110">
        <f>IFERROR(MATCH(U75,'CostModel Coef'!$C$9:$C$13,0),0)</f>
        <v>2</v>
      </c>
      <c r="W75" s="110"/>
      <c r="X75" s="82">
        <f>IF(V75&gt;0,INDEX('CostModel Coef'!$D$9:$D$13,V75)+INDEX('CostModel Coef'!$E$9:$E$13,V75)+INDEX('CostModel Coef'!$G$9:$G$13,V75)*D75,0)</f>
        <v>689.76899999999978</v>
      </c>
      <c r="Y75" s="82">
        <f>IF(V75&gt;0,INDEX('CostModel Coef'!$J$9:$J$13,V75),0)</f>
        <v>276.012</v>
      </c>
      <c r="Z75" s="112">
        <f>IF(V75&gt;0,INDEX('CostModel Coef'!$M$9:$M$13,V75),0)</f>
        <v>0.2</v>
      </c>
      <c r="AA75" s="110"/>
      <c r="AB75" s="110"/>
      <c r="AC75" s="42">
        <f t="shared" si="2"/>
        <v>827.72279999999967</v>
      </c>
      <c r="AD75" s="42">
        <f t="shared" si="3"/>
        <v>331.21440000000001</v>
      </c>
      <c r="AE75" s="9">
        <f>IF(V75&gt;0,INDEX('CostModel Coef'!$K$9:$K$13,V75),0)</f>
        <v>1.4166666666666667</v>
      </c>
      <c r="AF75" s="9">
        <f>IF(V75&gt;0,INDEX('CostModel Coef'!$L$9:$L$13,V75),0)</f>
        <v>4.833333333333333</v>
      </c>
    </row>
    <row r="76" spans="1:32">
      <c r="A76" s="110" t="s">
        <v>281</v>
      </c>
      <c r="B76" s="110" t="s">
        <v>156</v>
      </c>
      <c r="C76" s="110" t="s">
        <v>116</v>
      </c>
      <c r="D76" s="110">
        <v>16</v>
      </c>
      <c r="E76" s="110">
        <v>12.48</v>
      </c>
      <c r="F76" s="110">
        <v>55</v>
      </c>
      <c r="G76" s="110">
        <v>65</v>
      </c>
      <c r="H76" s="110" t="s">
        <v>157</v>
      </c>
      <c r="I76" s="110">
        <v>0.72399999999999998</v>
      </c>
      <c r="J76" s="110">
        <v>0.23810000000000001</v>
      </c>
      <c r="K76" s="110">
        <v>360</v>
      </c>
      <c r="L76" s="110">
        <v>0.27100000000000002</v>
      </c>
      <c r="M76" s="110">
        <v>0</v>
      </c>
      <c r="N76" s="110">
        <v>100</v>
      </c>
      <c r="O76" s="110" t="s">
        <v>165</v>
      </c>
      <c r="P76" s="110" t="s">
        <v>282</v>
      </c>
      <c r="Q76" s="80" t="s">
        <v>160</v>
      </c>
      <c r="R76" s="110"/>
      <c r="S76" s="110"/>
      <c r="T76" s="110"/>
      <c r="U76" s="110" t="s">
        <v>12</v>
      </c>
      <c r="V76" s="110">
        <f>IFERROR(MATCH(U76,'CostModel Coef'!$C$9:$C$13,0),0)</f>
        <v>2</v>
      </c>
      <c r="W76" s="110"/>
      <c r="X76" s="82">
        <f>IF(V76&gt;0,INDEX('CostModel Coef'!$D$9:$D$13,V76)+INDEX('CostModel Coef'!$E$9:$E$13,V76)+INDEX('CostModel Coef'!$G$9:$G$13,V76)*D76,0)</f>
        <v>920.08899999999994</v>
      </c>
      <c r="Y76" s="82">
        <f>IF(V76&gt;0,INDEX('CostModel Coef'!$J$9:$J$13,V76),0)</f>
        <v>276.012</v>
      </c>
      <c r="Z76" s="112">
        <f>IF(V76&gt;0,INDEX('CostModel Coef'!$M$9:$M$13,V76),0)</f>
        <v>0.2</v>
      </c>
      <c r="AA76" s="110"/>
      <c r="AB76" s="110"/>
      <c r="AC76" s="42">
        <f t="shared" si="2"/>
        <v>1104.1067999999998</v>
      </c>
      <c r="AD76" s="42">
        <f t="shared" si="3"/>
        <v>331.21440000000001</v>
      </c>
      <c r="AE76" s="9">
        <f>IF(V76&gt;0,INDEX('CostModel Coef'!$K$9:$K$13,V76),0)</f>
        <v>1.4166666666666667</v>
      </c>
      <c r="AF76" s="9">
        <f>IF(V76&gt;0,INDEX('CostModel Coef'!$L$9:$L$13,V76),0)</f>
        <v>4.833333333333333</v>
      </c>
    </row>
    <row r="77" spans="1:32">
      <c r="A77" s="110" t="s">
        <v>283</v>
      </c>
      <c r="B77" s="110" t="s">
        <v>156</v>
      </c>
      <c r="C77" s="110" t="s">
        <v>116</v>
      </c>
      <c r="D77" s="110">
        <v>17</v>
      </c>
      <c r="E77" s="110">
        <v>13.26</v>
      </c>
      <c r="F77" s="110">
        <v>55</v>
      </c>
      <c r="G77" s="110">
        <v>65</v>
      </c>
      <c r="H77" s="110" t="s">
        <v>157</v>
      </c>
      <c r="I77" s="110">
        <v>0.72399999999999998</v>
      </c>
      <c r="J77" s="110">
        <v>0.2225</v>
      </c>
      <c r="K77" s="110">
        <v>360</v>
      </c>
      <c r="L77" s="110">
        <v>0.27100000000000002</v>
      </c>
      <c r="M77" s="110">
        <v>0</v>
      </c>
      <c r="N77" s="110">
        <v>100</v>
      </c>
      <c r="O77" s="110" t="s">
        <v>165</v>
      </c>
      <c r="P77" s="110" t="s">
        <v>284</v>
      </c>
      <c r="Q77" s="80" t="s">
        <v>160</v>
      </c>
      <c r="R77" s="110"/>
      <c r="S77" s="110"/>
      <c r="T77" s="110"/>
      <c r="U77" s="110" t="s">
        <v>12</v>
      </c>
      <c r="V77" s="110">
        <f>IFERROR(MATCH(U77,'CostModel Coef'!$C$9:$C$13,0),0)</f>
        <v>2</v>
      </c>
      <c r="W77" s="110"/>
      <c r="X77" s="82">
        <f>IF(V77&gt;0,INDEX('CostModel Coef'!$D$9:$D$13,V77)+INDEX('CostModel Coef'!$E$9:$E$13,V77)+INDEX('CostModel Coef'!$G$9:$G$13,V77)*D77,0)</f>
        <v>1150.4090000000001</v>
      </c>
      <c r="Y77" s="82">
        <f>IF(V77&gt;0,INDEX('CostModel Coef'!$J$9:$J$13,V77),0)</f>
        <v>276.012</v>
      </c>
      <c r="Z77" s="112">
        <f>IF(V77&gt;0,INDEX('CostModel Coef'!$M$9:$M$13,V77),0)</f>
        <v>0.2</v>
      </c>
      <c r="AA77" s="110"/>
      <c r="AB77" s="110"/>
      <c r="AC77" s="42">
        <f t="shared" si="2"/>
        <v>1380.4908</v>
      </c>
      <c r="AD77" s="42">
        <f t="shared" si="3"/>
        <v>331.21440000000001</v>
      </c>
      <c r="AE77" s="9">
        <f>IF(V77&gt;0,INDEX('CostModel Coef'!$K$9:$K$13,V77),0)</f>
        <v>1.4166666666666667</v>
      </c>
      <c r="AF77" s="9">
        <f>IF(V77&gt;0,INDEX('CostModel Coef'!$L$9:$L$13,V77),0)</f>
        <v>4.833333333333333</v>
      </c>
    </row>
    <row r="78" spans="1:32">
      <c r="A78" s="110" t="s">
        <v>285</v>
      </c>
      <c r="B78" s="110" t="s">
        <v>156</v>
      </c>
      <c r="C78" s="110" t="s">
        <v>116</v>
      </c>
      <c r="D78" s="110">
        <v>18</v>
      </c>
      <c r="E78" s="110">
        <v>14.04</v>
      </c>
      <c r="F78" s="110">
        <v>55</v>
      </c>
      <c r="G78" s="110">
        <v>65</v>
      </c>
      <c r="H78" s="110" t="s">
        <v>157</v>
      </c>
      <c r="I78" s="110">
        <v>0.72399999999999998</v>
      </c>
      <c r="J78" s="110">
        <v>0.20860000000000001</v>
      </c>
      <c r="K78" s="110">
        <v>360</v>
      </c>
      <c r="L78" s="110">
        <v>0.27100000000000002</v>
      </c>
      <c r="M78" s="110">
        <v>0</v>
      </c>
      <c r="N78" s="110">
        <v>100</v>
      </c>
      <c r="O78" s="110" t="s">
        <v>165</v>
      </c>
      <c r="P78" s="110" t="s">
        <v>286</v>
      </c>
      <c r="Q78" s="80" t="s">
        <v>160</v>
      </c>
      <c r="R78" s="110"/>
      <c r="S78" s="110"/>
      <c r="T78" s="110"/>
      <c r="U78" s="110" t="s">
        <v>12</v>
      </c>
      <c r="V78" s="110">
        <f>IFERROR(MATCH(U78,'CostModel Coef'!$C$9:$C$13,0),0)</f>
        <v>2</v>
      </c>
      <c r="W78" s="110"/>
      <c r="X78" s="82">
        <f>IF(V78&gt;0,INDEX('CostModel Coef'!$D$9:$D$13,V78)+INDEX('CostModel Coef'!$E$9:$E$13,V78)+INDEX('CostModel Coef'!$G$9:$G$13,V78)*D78,0)</f>
        <v>1380.7290000000003</v>
      </c>
      <c r="Y78" s="82">
        <f>IF(V78&gt;0,INDEX('CostModel Coef'!$J$9:$J$13,V78),0)</f>
        <v>276.012</v>
      </c>
      <c r="Z78" s="112">
        <f>IF(V78&gt;0,INDEX('CostModel Coef'!$M$9:$M$13,V78),0)</f>
        <v>0.2</v>
      </c>
      <c r="AA78" s="110"/>
      <c r="AB78" s="110"/>
      <c r="AC78" s="42">
        <f t="shared" si="2"/>
        <v>1656.8748000000003</v>
      </c>
      <c r="AD78" s="42">
        <f t="shared" si="3"/>
        <v>331.21440000000001</v>
      </c>
      <c r="AE78" s="9">
        <f>IF(V78&gt;0,INDEX('CostModel Coef'!$K$9:$K$13,V78),0)</f>
        <v>1.4166666666666667</v>
      </c>
      <c r="AF78" s="9">
        <f>IF(V78&gt;0,INDEX('CostModel Coef'!$L$9:$L$13,V78),0)</f>
        <v>4.833333333333333</v>
      </c>
    </row>
    <row r="79" spans="1:32">
      <c r="A79" s="110" t="s">
        <v>287</v>
      </c>
      <c r="B79" s="110" t="s">
        <v>156</v>
      </c>
      <c r="C79" s="110" t="s">
        <v>116</v>
      </c>
      <c r="D79" s="110">
        <v>14</v>
      </c>
      <c r="E79" s="110">
        <v>12.17</v>
      </c>
      <c r="F79" s="110">
        <v>18</v>
      </c>
      <c r="G79" s="110">
        <v>45</v>
      </c>
      <c r="H79" s="110" t="s">
        <v>157</v>
      </c>
      <c r="I79" s="110">
        <v>0.75409999999999999</v>
      </c>
      <c r="J79" s="110">
        <v>0.23930000000000001</v>
      </c>
      <c r="K79" s="110">
        <v>385.2</v>
      </c>
      <c r="L79" s="110">
        <v>0.29399999999999998</v>
      </c>
      <c r="M79" s="110">
        <v>0</v>
      </c>
      <c r="N79" s="110">
        <v>100</v>
      </c>
      <c r="O79" s="110" t="s">
        <v>158</v>
      </c>
      <c r="P79" s="110" t="s">
        <v>288</v>
      </c>
      <c r="Q79" s="80" t="s">
        <v>160</v>
      </c>
      <c r="R79" s="110"/>
      <c r="S79" s="110"/>
      <c r="T79" s="110"/>
      <c r="U79" s="110" t="s">
        <v>12</v>
      </c>
      <c r="V79" s="110">
        <f>IFERROR(MATCH(U79,'CostModel Coef'!$C$9:$C$13,0),0)</f>
        <v>2</v>
      </c>
      <c r="W79" s="110"/>
      <c r="X79" s="82">
        <f>IF(V79&gt;0,INDEX('CostModel Coef'!$D$9:$D$13,V79)+INDEX('CostModel Coef'!$E$9:$E$13,V79)+INDEX('CostModel Coef'!$G$9:$G$13,V79)*D79,0)</f>
        <v>459.44900000000007</v>
      </c>
      <c r="Y79" s="82">
        <f>IF(V79&gt;0,INDEX('CostModel Coef'!$J$9:$J$13,V79),0)</f>
        <v>276.012</v>
      </c>
      <c r="Z79" s="112">
        <f>IF(V79&gt;0,INDEX('CostModel Coef'!$M$9:$M$13,V79),0)</f>
        <v>0.2</v>
      </c>
      <c r="AA79" s="110"/>
      <c r="AB79" s="110"/>
      <c r="AC79" s="42">
        <f t="shared" si="2"/>
        <v>551.33880000000011</v>
      </c>
      <c r="AD79" s="42">
        <f t="shared" si="3"/>
        <v>331.21440000000001</v>
      </c>
      <c r="AE79" s="9">
        <f>IF(V79&gt;0,INDEX('CostModel Coef'!$K$9:$K$13,V79),0)</f>
        <v>1.4166666666666667</v>
      </c>
      <c r="AF79" s="9">
        <f>IF(V79&gt;0,INDEX('CostModel Coef'!$L$9:$L$13,V79),0)</f>
        <v>4.833333333333333</v>
      </c>
    </row>
    <row r="80" spans="1:32">
      <c r="A80" s="110" t="s">
        <v>289</v>
      </c>
      <c r="B80" s="110" t="s">
        <v>156</v>
      </c>
      <c r="C80" s="110" t="s">
        <v>116</v>
      </c>
      <c r="D80" s="110">
        <v>15</v>
      </c>
      <c r="E80" s="110">
        <v>12.78</v>
      </c>
      <c r="F80" s="110">
        <v>18</v>
      </c>
      <c r="G80" s="110">
        <v>45</v>
      </c>
      <c r="H80" s="110" t="s">
        <v>157</v>
      </c>
      <c r="I80" s="110">
        <v>0.74399999999999999</v>
      </c>
      <c r="J80" s="110">
        <v>0.23219999999999999</v>
      </c>
      <c r="K80" s="110">
        <v>385.2</v>
      </c>
      <c r="L80" s="110">
        <v>0.251</v>
      </c>
      <c r="M80" s="110">
        <v>0</v>
      </c>
      <c r="N80" s="110">
        <v>100</v>
      </c>
      <c r="O80" s="110" t="s">
        <v>158</v>
      </c>
      <c r="P80" s="110" t="s">
        <v>290</v>
      </c>
      <c r="Q80" s="80" t="s">
        <v>160</v>
      </c>
      <c r="R80" s="110"/>
      <c r="S80" s="110"/>
      <c r="T80" s="110"/>
      <c r="U80" s="110" t="s">
        <v>12</v>
      </c>
      <c r="V80" s="110">
        <f>IFERROR(MATCH(U80,'CostModel Coef'!$C$9:$C$13,0),0)</f>
        <v>2</v>
      </c>
      <c r="W80" s="110"/>
      <c r="X80" s="82">
        <f>IF(V80&gt;0,INDEX('CostModel Coef'!$D$9:$D$13,V80)+INDEX('CostModel Coef'!$E$9:$E$13,V80)+INDEX('CostModel Coef'!$G$9:$G$13,V80)*D80,0)</f>
        <v>689.76899999999978</v>
      </c>
      <c r="Y80" s="82">
        <f>IF(V80&gt;0,INDEX('CostModel Coef'!$J$9:$J$13,V80),0)</f>
        <v>276.012</v>
      </c>
      <c r="Z80" s="112">
        <f>IF(V80&gt;0,INDEX('CostModel Coef'!$M$9:$M$13,V80),0)</f>
        <v>0.2</v>
      </c>
      <c r="AA80" s="110"/>
      <c r="AB80" s="110"/>
      <c r="AC80" s="42">
        <f t="shared" si="2"/>
        <v>827.72279999999967</v>
      </c>
      <c r="AD80" s="42">
        <f t="shared" si="3"/>
        <v>331.21440000000001</v>
      </c>
      <c r="AE80" s="9">
        <f>IF(V80&gt;0,INDEX('CostModel Coef'!$K$9:$K$13,V80),0)</f>
        <v>1.4166666666666667</v>
      </c>
      <c r="AF80" s="9">
        <f>IF(V80&gt;0,INDEX('CostModel Coef'!$L$9:$L$13,V80),0)</f>
        <v>4.833333333333333</v>
      </c>
    </row>
    <row r="81" spans="1:32">
      <c r="A81" s="110" t="s">
        <v>291</v>
      </c>
      <c r="B81" s="110" t="s">
        <v>156</v>
      </c>
      <c r="C81" s="110" t="s">
        <v>116</v>
      </c>
      <c r="D81" s="110">
        <v>16</v>
      </c>
      <c r="E81" s="110">
        <v>12.48</v>
      </c>
      <c r="F81" s="110">
        <v>18</v>
      </c>
      <c r="G81" s="110">
        <v>45</v>
      </c>
      <c r="H81" s="110" t="s">
        <v>157</v>
      </c>
      <c r="I81" s="110">
        <v>0.72399999999999998</v>
      </c>
      <c r="J81" s="110">
        <v>0.23810000000000001</v>
      </c>
      <c r="K81" s="110">
        <v>360</v>
      </c>
      <c r="L81" s="110">
        <v>0.27100000000000002</v>
      </c>
      <c r="M81" s="110">
        <v>0</v>
      </c>
      <c r="N81" s="110">
        <v>100</v>
      </c>
      <c r="O81" s="110" t="s">
        <v>165</v>
      </c>
      <c r="P81" s="110" t="s">
        <v>292</v>
      </c>
      <c r="Q81" s="80" t="s">
        <v>160</v>
      </c>
      <c r="R81" s="110"/>
      <c r="S81" s="110"/>
      <c r="T81" s="110"/>
      <c r="U81" s="110" t="s">
        <v>12</v>
      </c>
      <c r="V81" s="110">
        <f>IFERROR(MATCH(U81,'CostModel Coef'!$C$9:$C$13,0),0)</f>
        <v>2</v>
      </c>
      <c r="W81" s="110"/>
      <c r="X81" s="82">
        <f>IF(V81&gt;0,INDEX('CostModel Coef'!$D$9:$D$13,V81)+INDEX('CostModel Coef'!$E$9:$E$13,V81)+INDEX('CostModel Coef'!$G$9:$G$13,V81)*D81,0)</f>
        <v>920.08899999999994</v>
      </c>
      <c r="Y81" s="82">
        <f>IF(V81&gt;0,INDEX('CostModel Coef'!$J$9:$J$13,V81),0)</f>
        <v>276.012</v>
      </c>
      <c r="Z81" s="112">
        <f>IF(V81&gt;0,INDEX('CostModel Coef'!$M$9:$M$13,V81),0)</f>
        <v>0.2</v>
      </c>
      <c r="AA81" s="110"/>
      <c r="AB81" s="110"/>
      <c r="AC81" s="42">
        <f t="shared" si="2"/>
        <v>1104.1067999999998</v>
      </c>
      <c r="AD81" s="42">
        <f t="shared" si="3"/>
        <v>331.21440000000001</v>
      </c>
      <c r="AE81" s="9">
        <f>IF(V81&gt;0,INDEX('CostModel Coef'!$K$9:$K$13,V81),0)</f>
        <v>1.4166666666666667</v>
      </c>
      <c r="AF81" s="9">
        <f>IF(V81&gt;0,INDEX('CostModel Coef'!$L$9:$L$13,V81),0)</f>
        <v>4.833333333333333</v>
      </c>
    </row>
    <row r="82" spans="1:32">
      <c r="A82" s="110" t="s">
        <v>293</v>
      </c>
      <c r="B82" s="110" t="s">
        <v>156</v>
      </c>
      <c r="C82" s="110" t="s">
        <v>116</v>
      </c>
      <c r="D82" s="110">
        <v>17</v>
      </c>
      <c r="E82" s="110">
        <v>13.26</v>
      </c>
      <c r="F82" s="110">
        <v>18</v>
      </c>
      <c r="G82" s="110">
        <v>45</v>
      </c>
      <c r="H82" s="110" t="s">
        <v>157</v>
      </c>
      <c r="I82" s="110">
        <v>0.72399999999999998</v>
      </c>
      <c r="J82" s="110">
        <v>0.2225</v>
      </c>
      <c r="K82" s="110">
        <v>360</v>
      </c>
      <c r="L82" s="110">
        <v>0.27100000000000002</v>
      </c>
      <c r="M82" s="110">
        <v>0</v>
      </c>
      <c r="N82" s="110">
        <v>100</v>
      </c>
      <c r="O82" s="110" t="s">
        <v>165</v>
      </c>
      <c r="P82" s="110" t="s">
        <v>294</v>
      </c>
      <c r="Q82" s="80" t="s">
        <v>160</v>
      </c>
      <c r="R82" s="110"/>
      <c r="S82" s="110"/>
      <c r="T82" s="110"/>
      <c r="U82" s="110" t="s">
        <v>12</v>
      </c>
      <c r="V82" s="110">
        <f>IFERROR(MATCH(U82,'CostModel Coef'!$C$9:$C$13,0),0)</f>
        <v>2</v>
      </c>
      <c r="W82" s="110"/>
      <c r="X82" s="82">
        <f>IF(V82&gt;0,INDEX('CostModel Coef'!$D$9:$D$13,V82)+INDEX('CostModel Coef'!$E$9:$E$13,V82)+INDEX('CostModel Coef'!$G$9:$G$13,V82)*D82,0)</f>
        <v>1150.4090000000001</v>
      </c>
      <c r="Y82" s="82">
        <f>IF(V82&gt;0,INDEX('CostModel Coef'!$J$9:$J$13,V82),0)</f>
        <v>276.012</v>
      </c>
      <c r="Z82" s="112">
        <f>IF(V82&gt;0,INDEX('CostModel Coef'!$M$9:$M$13,V82),0)</f>
        <v>0.2</v>
      </c>
      <c r="AA82" s="110"/>
      <c r="AB82" s="110"/>
      <c r="AC82" s="42">
        <f t="shared" si="2"/>
        <v>1380.4908</v>
      </c>
      <c r="AD82" s="42">
        <f t="shared" si="3"/>
        <v>331.21440000000001</v>
      </c>
      <c r="AE82" s="9">
        <f>IF(V82&gt;0,INDEX('CostModel Coef'!$K$9:$K$13,V82),0)</f>
        <v>1.4166666666666667</v>
      </c>
      <c r="AF82" s="9">
        <f>IF(V82&gt;0,INDEX('CostModel Coef'!$L$9:$L$13,V82),0)</f>
        <v>4.833333333333333</v>
      </c>
    </row>
    <row r="83" spans="1:32">
      <c r="A83" s="110" t="s">
        <v>295</v>
      </c>
      <c r="B83" s="110" t="s">
        <v>156</v>
      </c>
      <c r="C83" s="110" t="s">
        <v>116</v>
      </c>
      <c r="D83" s="110">
        <v>18</v>
      </c>
      <c r="E83" s="110">
        <v>14.04</v>
      </c>
      <c r="F83" s="110">
        <v>18</v>
      </c>
      <c r="G83" s="110">
        <v>45</v>
      </c>
      <c r="H83" s="110" t="s">
        <v>157</v>
      </c>
      <c r="I83" s="110">
        <v>0.72399999999999998</v>
      </c>
      <c r="J83" s="110">
        <v>0.20860000000000001</v>
      </c>
      <c r="K83" s="110">
        <v>360</v>
      </c>
      <c r="L83" s="110">
        <v>0.27100000000000002</v>
      </c>
      <c r="M83" s="110">
        <v>0</v>
      </c>
      <c r="N83" s="110">
        <v>100</v>
      </c>
      <c r="O83" s="110" t="s">
        <v>165</v>
      </c>
      <c r="P83" s="110" t="s">
        <v>296</v>
      </c>
      <c r="Q83" s="80" t="s">
        <v>160</v>
      </c>
      <c r="R83" s="110"/>
      <c r="S83" s="110"/>
      <c r="T83" s="110"/>
      <c r="U83" s="110" t="s">
        <v>12</v>
      </c>
      <c r="V83" s="110">
        <f>IFERROR(MATCH(U83,'CostModel Coef'!$C$9:$C$13,0),0)</f>
        <v>2</v>
      </c>
      <c r="W83" s="110"/>
      <c r="X83" s="82">
        <f>IF(V83&gt;0,INDEX('CostModel Coef'!$D$9:$D$13,V83)+INDEX('CostModel Coef'!$E$9:$E$13,V83)+INDEX('CostModel Coef'!$G$9:$G$13,V83)*D83,0)</f>
        <v>1380.7290000000003</v>
      </c>
      <c r="Y83" s="82">
        <f>IF(V83&gt;0,INDEX('CostModel Coef'!$J$9:$J$13,V83),0)</f>
        <v>276.012</v>
      </c>
      <c r="Z83" s="112">
        <f>IF(V83&gt;0,INDEX('CostModel Coef'!$M$9:$M$13,V83),0)</f>
        <v>0.2</v>
      </c>
      <c r="AA83" s="110"/>
      <c r="AB83" s="110"/>
      <c r="AC83" s="42">
        <f t="shared" si="2"/>
        <v>1656.8748000000003</v>
      </c>
      <c r="AD83" s="42">
        <f t="shared" si="3"/>
        <v>331.21440000000001</v>
      </c>
      <c r="AE83" s="9">
        <f>IF(V83&gt;0,INDEX('CostModel Coef'!$K$9:$K$13,V83),0)</f>
        <v>1.4166666666666667</v>
      </c>
      <c r="AF83" s="9">
        <f>IF(V83&gt;0,INDEX('CostModel Coef'!$L$9:$L$13,V83),0)</f>
        <v>4.833333333333333</v>
      </c>
    </row>
    <row r="84" spans="1:32">
      <c r="A84" s="110" t="s">
        <v>297</v>
      </c>
      <c r="B84" s="110" t="s">
        <v>156</v>
      </c>
      <c r="C84" s="110" t="s">
        <v>116</v>
      </c>
      <c r="D84" s="110">
        <v>10</v>
      </c>
      <c r="E84" s="110">
        <v>8.5210000000000008</v>
      </c>
      <c r="F84" s="110">
        <v>18</v>
      </c>
      <c r="G84" s="110">
        <v>65</v>
      </c>
      <c r="H84" s="110" t="s">
        <v>157</v>
      </c>
      <c r="I84" s="110">
        <v>0.74399999999999999</v>
      </c>
      <c r="J84" s="110">
        <v>0.34449999999999997</v>
      </c>
      <c r="K84" s="110">
        <v>385.2</v>
      </c>
      <c r="L84" s="110">
        <v>0.36499999999999999</v>
      </c>
      <c r="M84" s="110">
        <v>0</v>
      </c>
      <c r="N84" s="110">
        <v>100</v>
      </c>
      <c r="O84" s="110" t="s">
        <v>158</v>
      </c>
      <c r="P84" s="110" t="s">
        <v>298</v>
      </c>
      <c r="Q84" s="80" t="s">
        <v>160</v>
      </c>
      <c r="R84" s="110"/>
      <c r="S84" s="110"/>
      <c r="T84" s="110"/>
      <c r="U84" s="110" t="s">
        <v>161</v>
      </c>
      <c r="V84" s="110">
        <f>IFERROR(MATCH(U84,'CostModel Coef'!$C$9:$C$13,0),0)</f>
        <v>0</v>
      </c>
      <c r="W84" s="110"/>
      <c r="X84" s="82">
        <f>IF(V84&gt;0,INDEX('CostModel Coef'!$D$9:$D$13,V84)+INDEX('CostModel Coef'!$E$9:$E$13,V84)+INDEX('CostModel Coef'!$G$9:$G$13,V84)*D84,0)</f>
        <v>0</v>
      </c>
      <c r="Y84" s="82">
        <f>IF(V84&gt;0,INDEX('CostModel Coef'!$J$9:$J$13,V84),0)</f>
        <v>0</v>
      </c>
      <c r="Z84" s="112">
        <f>IF(V84&gt;0,INDEX('CostModel Coef'!$M$9:$M$13,V84),0)</f>
        <v>0</v>
      </c>
      <c r="AA84" s="110"/>
      <c r="AB84" s="110"/>
      <c r="AC84" s="42">
        <f t="shared" si="2"/>
        <v>0</v>
      </c>
      <c r="AD84" s="42">
        <f t="shared" si="3"/>
        <v>0</v>
      </c>
      <c r="AE84" s="9">
        <f>IF(V84&gt;0,INDEX('CostModel Coef'!$K$9:$K$13,V84),0)</f>
        <v>0</v>
      </c>
      <c r="AF84" s="9">
        <f>IF(V84&gt;0,INDEX('CostModel Coef'!$L$9:$L$13,V84),0)</f>
        <v>0</v>
      </c>
    </row>
    <row r="85" spans="1:32">
      <c r="A85" s="110" t="s">
        <v>299</v>
      </c>
      <c r="B85" s="110" t="s">
        <v>156</v>
      </c>
      <c r="C85" s="110" t="s">
        <v>116</v>
      </c>
      <c r="D85" s="110">
        <v>13</v>
      </c>
      <c r="E85" s="110">
        <v>11.08</v>
      </c>
      <c r="F85" s="110">
        <v>18</v>
      </c>
      <c r="G85" s="110">
        <v>65</v>
      </c>
      <c r="H85" s="110" t="s">
        <v>157</v>
      </c>
      <c r="I85" s="110">
        <v>0.74399999999999999</v>
      </c>
      <c r="J85" s="110">
        <v>0.25819999999999999</v>
      </c>
      <c r="K85" s="110">
        <v>385.2</v>
      </c>
      <c r="L85" s="110">
        <v>0.34799999999999998</v>
      </c>
      <c r="M85" s="110">
        <v>0</v>
      </c>
      <c r="N85" s="110">
        <v>100</v>
      </c>
      <c r="O85" s="110" t="s">
        <v>158</v>
      </c>
      <c r="P85" s="110" t="s">
        <v>300</v>
      </c>
      <c r="Q85" s="80" t="s">
        <v>160</v>
      </c>
      <c r="R85" s="110"/>
      <c r="S85" s="110"/>
      <c r="T85" s="110"/>
      <c r="U85" s="110" t="s">
        <v>161</v>
      </c>
      <c r="V85" s="110">
        <f>IFERROR(MATCH(U85,'CostModel Coef'!$C$9:$C$13,0),0)</f>
        <v>0</v>
      </c>
      <c r="W85" s="110"/>
      <c r="X85" s="82">
        <f>IF(V85&gt;0,INDEX('CostModel Coef'!$D$9:$D$13,V85)+INDEX('CostModel Coef'!$E$9:$E$13,V85)+INDEX('CostModel Coef'!$G$9:$G$13,V85)*D85,0)</f>
        <v>0</v>
      </c>
      <c r="Y85" s="82">
        <f>IF(V85&gt;0,INDEX('CostModel Coef'!$J$9:$J$13,V85),0)</f>
        <v>0</v>
      </c>
      <c r="Z85" s="112">
        <f>IF(V85&gt;0,INDEX('CostModel Coef'!$M$9:$M$13,V85),0)</f>
        <v>0</v>
      </c>
      <c r="AA85" s="110"/>
      <c r="AB85" s="110"/>
      <c r="AC85" s="42">
        <f t="shared" si="2"/>
        <v>0</v>
      </c>
      <c r="AD85" s="42">
        <f t="shared" si="3"/>
        <v>0</v>
      </c>
      <c r="AE85" s="9">
        <f>IF(V85&gt;0,INDEX('CostModel Coef'!$K$9:$K$13,V85),0)</f>
        <v>0</v>
      </c>
      <c r="AF85" s="9">
        <f>IF(V85&gt;0,INDEX('CostModel Coef'!$L$9:$L$13,V85),0)</f>
        <v>0</v>
      </c>
    </row>
    <row r="86" spans="1:32">
      <c r="A86" s="110" t="s">
        <v>301</v>
      </c>
      <c r="B86" s="110" t="s">
        <v>156</v>
      </c>
      <c r="C86" s="110" t="s">
        <v>302</v>
      </c>
      <c r="D86" s="110">
        <v>17.399999999999999</v>
      </c>
      <c r="E86" s="110"/>
      <c r="F86" s="110">
        <v>18</v>
      </c>
      <c r="G86" s="110">
        <v>45</v>
      </c>
      <c r="H86" s="110" t="s">
        <v>303</v>
      </c>
      <c r="I86" s="110"/>
      <c r="J86" s="110"/>
      <c r="K86" s="110"/>
      <c r="L86" s="110">
        <v>0</v>
      </c>
      <c r="M86" s="110">
        <v>0</v>
      </c>
      <c r="N86" s="110">
        <v>100</v>
      </c>
      <c r="O86" s="110" t="s">
        <v>158</v>
      </c>
      <c r="P86" s="110" t="s">
        <v>304</v>
      </c>
      <c r="Q86" s="80" t="s">
        <v>160</v>
      </c>
      <c r="R86" s="110"/>
      <c r="S86" s="110"/>
      <c r="T86" s="110"/>
      <c r="U86" s="110" t="s">
        <v>161</v>
      </c>
      <c r="V86" s="110">
        <f>IFERROR(MATCH(U86,'CostModel Coef'!$C$9:$C$13,0),0)</f>
        <v>0</v>
      </c>
      <c r="W86" s="110"/>
      <c r="X86" s="82">
        <f>IF(V86&gt;0,INDEX('CostModel Coef'!$D$9:$D$13,V86)+INDEX('CostModel Coef'!$E$9:$E$13,V86)+INDEX('CostModel Coef'!$G$9:$G$13,V86)*D86,0)</f>
        <v>0</v>
      </c>
      <c r="Y86" s="82">
        <f>IF(V86&gt;0,INDEX('CostModel Coef'!$J$9:$J$13,V86),0)</f>
        <v>0</v>
      </c>
      <c r="Z86" s="112">
        <f>IF(V86&gt;0,INDEX('CostModel Coef'!$M$9:$M$13,V86),0)</f>
        <v>0</v>
      </c>
      <c r="AA86" s="110"/>
      <c r="AB86" s="110"/>
      <c r="AC86" s="42">
        <f t="shared" si="2"/>
        <v>0</v>
      </c>
      <c r="AD86" s="42">
        <f t="shared" si="3"/>
        <v>0</v>
      </c>
      <c r="AE86" s="9">
        <f>IF(V86&gt;0,INDEX('CostModel Coef'!$K$9:$K$13,V86),0)</f>
        <v>0</v>
      </c>
      <c r="AF86" s="9">
        <f>IF(V86&gt;0,INDEX('CostModel Coef'!$L$9:$L$13,V86),0)</f>
        <v>0</v>
      </c>
    </row>
    <row r="87" spans="1:32">
      <c r="A87" s="110" t="s">
        <v>305</v>
      </c>
      <c r="B87" s="110" t="s">
        <v>156</v>
      </c>
      <c r="C87" s="110" t="s">
        <v>302</v>
      </c>
      <c r="D87" s="110">
        <v>14</v>
      </c>
      <c r="E87" s="110">
        <v>11.82</v>
      </c>
      <c r="F87" s="110">
        <v>45</v>
      </c>
      <c r="G87" s="110">
        <v>65</v>
      </c>
      <c r="H87" s="110" t="s">
        <v>157</v>
      </c>
      <c r="I87" s="110">
        <v>0.75919999999999999</v>
      </c>
      <c r="J87" s="110">
        <v>0.24660000000000001</v>
      </c>
      <c r="K87" s="110">
        <v>391.6</v>
      </c>
      <c r="L87" s="110">
        <v>0.29399999999999998</v>
      </c>
      <c r="M87" s="110">
        <v>0</v>
      </c>
      <c r="N87" s="110">
        <v>100</v>
      </c>
      <c r="O87" s="110" t="s">
        <v>158</v>
      </c>
      <c r="P87" s="110" t="s">
        <v>306</v>
      </c>
      <c r="Q87" s="80" t="s">
        <v>160</v>
      </c>
      <c r="R87" s="110"/>
      <c r="S87" s="110"/>
      <c r="T87" s="110"/>
      <c r="U87" s="110" t="s">
        <v>12</v>
      </c>
      <c r="V87" s="110">
        <f>IFERROR(MATCH(U87,'CostModel Coef'!$C$9:$C$13,0),0)</f>
        <v>2</v>
      </c>
      <c r="W87" s="110"/>
      <c r="X87" s="82">
        <f>IF(V87&gt;0,INDEX('CostModel Coef'!$D$9:$D$13,V87)+INDEX('CostModel Coef'!$E$9:$E$13,V87)+INDEX('CostModel Coef'!$G$9:$G$13,V87)*D87,0)</f>
        <v>459.44900000000007</v>
      </c>
      <c r="Y87" s="82">
        <f>IF(V87&gt;0,INDEX('CostModel Coef'!$J$9:$J$13,V87),0)</f>
        <v>276.012</v>
      </c>
      <c r="Z87" s="112">
        <f>IF(V87&gt;0,INDEX('CostModel Coef'!$M$9:$M$13,V87),0)</f>
        <v>0.2</v>
      </c>
      <c r="AA87" s="110"/>
      <c r="AB87" s="110"/>
      <c r="AC87" s="42">
        <f t="shared" si="2"/>
        <v>551.33880000000011</v>
      </c>
      <c r="AD87" s="42">
        <f t="shared" si="3"/>
        <v>331.21440000000001</v>
      </c>
      <c r="AE87" s="9">
        <f>IF(V87&gt;0,INDEX('CostModel Coef'!$K$9:$K$13,V87),0)</f>
        <v>1.4166666666666667</v>
      </c>
      <c r="AF87" s="9">
        <f>IF(V87&gt;0,INDEX('CostModel Coef'!$L$9:$L$13,V87),0)</f>
        <v>4.833333333333333</v>
      </c>
    </row>
    <row r="88" spans="1:32">
      <c r="A88" s="110" t="s">
        <v>307</v>
      </c>
      <c r="B88" s="110" t="s">
        <v>156</v>
      </c>
      <c r="C88" s="110" t="s">
        <v>302</v>
      </c>
      <c r="D88" s="110">
        <v>14</v>
      </c>
      <c r="E88" s="110">
        <v>12.17</v>
      </c>
      <c r="F88" s="110">
        <v>18</v>
      </c>
      <c r="G88" s="110">
        <v>45</v>
      </c>
      <c r="H88" s="110" t="s">
        <v>157</v>
      </c>
      <c r="I88" s="110">
        <v>0.75409999999999999</v>
      </c>
      <c r="J88" s="110">
        <v>0.23930000000000001</v>
      </c>
      <c r="K88" s="110">
        <v>385.2</v>
      </c>
      <c r="L88" s="110">
        <v>0.29399999999999998</v>
      </c>
      <c r="M88" s="110">
        <v>0</v>
      </c>
      <c r="N88" s="110">
        <v>100</v>
      </c>
      <c r="O88" s="110" t="s">
        <v>158</v>
      </c>
      <c r="P88" s="110" t="s">
        <v>308</v>
      </c>
      <c r="Q88" s="80" t="s">
        <v>160</v>
      </c>
      <c r="R88" s="110"/>
      <c r="S88" s="110"/>
      <c r="T88" s="110"/>
      <c r="U88" s="110" t="s">
        <v>12</v>
      </c>
      <c r="V88" s="110">
        <f>IFERROR(MATCH(U88,'CostModel Coef'!$C$9:$C$13,0),0)</f>
        <v>2</v>
      </c>
      <c r="W88" s="110"/>
      <c r="X88" s="82">
        <f>IF(V88&gt;0,INDEX('CostModel Coef'!$D$9:$D$13,V88)+INDEX('CostModel Coef'!$E$9:$E$13,V88)+INDEX('CostModel Coef'!$G$9:$G$13,V88)*D88,0)</f>
        <v>459.44900000000007</v>
      </c>
      <c r="Y88" s="82">
        <f>IF(V88&gt;0,INDEX('CostModel Coef'!$J$9:$J$13,V88),0)</f>
        <v>276.012</v>
      </c>
      <c r="Z88" s="112">
        <f>IF(V88&gt;0,INDEX('CostModel Coef'!$M$9:$M$13,V88),0)</f>
        <v>0.2</v>
      </c>
      <c r="AA88" s="110"/>
      <c r="AB88" s="110"/>
      <c r="AC88" s="42">
        <f t="shared" si="2"/>
        <v>551.33880000000011</v>
      </c>
      <c r="AD88" s="42">
        <f t="shared" si="3"/>
        <v>331.21440000000001</v>
      </c>
      <c r="AE88" s="9">
        <f>IF(V88&gt;0,INDEX('CostModel Coef'!$K$9:$K$13,V88),0)</f>
        <v>1.4166666666666667</v>
      </c>
      <c r="AF88" s="9">
        <f>IF(V88&gt;0,INDEX('CostModel Coef'!$L$9:$L$13,V88),0)</f>
        <v>4.833333333333333</v>
      </c>
    </row>
    <row r="89" spans="1:32">
      <c r="A89" s="110" t="s">
        <v>309</v>
      </c>
      <c r="B89" s="110" t="s">
        <v>156</v>
      </c>
      <c r="C89" s="110" t="s">
        <v>302</v>
      </c>
      <c r="D89" s="110">
        <v>10</v>
      </c>
      <c r="E89" s="110">
        <v>8.5210000000000008</v>
      </c>
      <c r="F89" s="110">
        <v>18</v>
      </c>
      <c r="G89" s="110">
        <v>65</v>
      </c>
      <c r="H89" s="110" t="s">
        <v>157</v>
      </c>
      <c r="I89" s="110">
        <v>0.74399999999999999</v>
      </c>
      <c r="J89" s="110">
        <v>0.34449999999999997</v>
      </c>
      <c r="K89" s="110">
        <v>385.2</v>
      </c>
      <c r="L89" s="110">
        <v>0.36499999999999999</v>
      </c>
      <c r="M89" s="110">
        <v>0</v>
      </c>
      <c r="N89" s="110">
        <v>100</v>
      </c>
      <c r="O89" s="110" t="s">
        <v>158</v>
      </c>
      <c r="P89" s="110" t="s">
        <v>310</v>
      </c>
      <c r="Q89" s="80" t="s">
        <v>160</v>
      </c>
      <c r="R89" s="110"/>
      <c r="S89" s="110"/>
      <c r="T89" s="110"/>
      <c r="U89" s="110" t="s">
        <v>161</v>
      </c>
      <c r="V89" s="110">
        <f>IFERROR(MATCH(U89,'CostModel Coef'!$C$9:$C$13,0),0)</f>
        <v>0</v>
      </c>
      <c r="W89" s="110"/>
      <c r="X89" s="82">
        <f>IF(V89&gt;0,INDEX('CostModel Coef'!$D$9:$D$13,V89)+INDEX('CostModel Coef'!$E$9:$E$13,V89)+INDEX('CostModel Coef'!$G$9:$G$13,V89)*D89,0)</f>
        <v>0</v>
      </c>
      <c r="Y89" s="82">
        <f>IF(V89&gt;0,INDEX('CostModel Coef'!$J$9:$J$13,V89),0)</f>
        <v>0</v>
      </c>
      <c r="Z89" s="112">
        <f>IF(V89&gt;0,INDEX('CostModel Coef'!$M$9:$M$13,V89),0)</f>
        <v>0</v>
      </c>
      <c r="AA89" s="110"/>
      <c r="AB89" s="110"/>
      <c r="AC89" s="42">
        <f t="shared" si="2"/>
        <v>0</v>
      </c>
      <c r="AD89" s="42">
        <f t="shared" si="3"/>
        <v>0</v>
      </c>
      <c r="AE89" s="9">
        <f>IF(V89&gt;0,INDEX('CostModel Coef'!$K$9:$K$13,V89),0)</f>
        <v>0</v>
      </c>
      <c r="AF89" s="9">
        <f>IF(V89&gt;0,INDEX('CostModel Coef'!$L$9:$L$13,V89),0)</f>
        <v>0</v>
      </c>
    </row>
    <row r="90" spans="1:32">
      <c r="A90" s="110" t="s">
        <v>311</v>
      </c>
      <c r="B90" s="110" t="s">
        <v>156</v>
      </c>
      <c r="C90" s="110" t="s">
        <v>302</v>
      </c>
      <c r="D90" s="110">
        <v>13</v>
      </c>
      <c r="E90" s="110">
        <v>11.08</v>
      </c>
      <c r="F90" s="110">
        <v>18</v>
      </c>
      <c r="G90" s="110">
        <v>65</v>
      </c>
      <c r="H90" s="110" t="s">
        <v>157</v>
      </c>
      <c r="I90" s="110">
        <v>0.74399999999999999</v>
      </c>
      <c r="J90" s="110">
        <v>0.25819999999999999</v>
      </c>
      <c r="K90" s="110">
        <v>385.2</v>
      </c>
      <c r="L90" s="110">
        <v>0.34799999999999998</v>
      </c>
      <c r="M90" s="110">
        <v>0</v>
      </c>
      <c r="N90" s="110">
        <v>100</v>
      </c>
      <c r="O90" s="110" t="s">
        <v>158</v>
      </c>
      <c r="P90" s="110" t="s">
        <v>312</v>
      </c>
      <c r="Q90" s="80" t="s">
        <v>160</v>
      </c>
      <c r="R90" s="110"/>
      <c r="S90" s="110"/>
      <c r="T90" s="110"/>
      <c r="U90" s="110" t="s">
        <v>161</v>
      </c>
      <c r="V90" s="110">
        <f>IFERROR(MATCH(U90,'CostModel Coef'!$C$9:$C$13,0),0)</f>
        <v>0</v>
      </c>
      <c r="W90" s="110"/>
      <c r="X90" s="82">
        <f>IF(V90&gt;0,INDEX('CostModel Coef'!$D$9:$D$13,V90)+INDEX('CostModel Coef'!$E$9:$E$13,V90)+INDEX('CostModel Coef'!$G$9:$G$13,V90)*D90,0)</f>
        <v>0</v>
      </c>
      <c r="Y90" s="82">
        <f>IF(V90&gt;0,INDEX('CostModel Coef'!$J$9:$J$13,V90),0)</f>
        <v>0</v>
      </c>
      <c r="Z90" s="112">
        <f>IF(V90&gt;0,INDEX('CostModel Coef'!$M$9:$M$13,V90),0)</f>
        <v>0</v>
      </c>
      <c r="AA90" s="110"/>
      <c r="AB90" s="110"/>
      <c r="AC90" s="42">
        <f t="shared" si="2"/>
        <v>0</v>
      </c>
      <c r="AD90" s="42">
        <f t="shared" si="3"/>
        <v>0</v>
      </c>
      <c r="AE90" s="9">
        <f>IF(V90&gt;0,INDEX('CostModel Coef'!$K$9:$K$13,V90),0)</f>
        <v>0</v>
      </c>
      <c r="AF90" s="9">
        <f>IF(V90&gt;0,INDEX('CostModel Coef'!$L$9:$L$13,V90),0)</f>
        <v>0</v>
      </c>
    </row>
    <row r="91" spans="1:32">
      <c r="A91" s="110" t="s">
        <v>313</v>
      </c>
      <c r="B91" s="110" t="s">
        <v>156</v>
      </c>
      <c r="C91" s="110" t="s">
        <v>302</v>
      </c>
      <c r="D91" s="110">
        <v>15</v>
      </c>
      <c r="E91" s="110">
        <v>12.78</v>
      </c>
      <c r="F91" s="110">
        <v>18</v>
      </c>
      <c r="G91" s="110">
        <v>65</v>
      </c>
      <c r="H91" s="110" t="s">
        <v>157</v>
      </c>
      <c r="I91" s="110">
        <v>0.74399999999999999</v>
      </c>
      <c r="J91" s="110">
        <v>0.23219999999999999</v>
      </c>
      <c r="K91" s="110">
        <v>385.2</v>
      </c>
      <c r="L91" s="110">
        <v>0.251</v>
      </c>
      <c r="M91" s="110">
        <v>0</v>
      </c>
      <c r="N91" s="110">
        <v>100</v>
      </c>
      <c r="O91" s="110" t="s">
        <v>158</v>
      </c>
      <c r="P91" s="110" t="s">
        <v>314</v>
      </c>
      <c r="Q91" s="80" t="s">
        <v>160</v>
      </c>
      <c r="R91" s="110"/>
      <c r="S91" s="110"/>
      <c r="T91" s="110"/>
      <c r="U91" s="110" t="s">
        <v>12</v>
      </c>
      <c r="V91" s="110">
        <f>IFERROR(MATCH(U91,'CostModel Coef'!$C$9:$C$13,0),0)</f>
        <v>2</v>
      </c>
      <c r="W91" s="110"/>
      <c r="X91" s="82">
        <f>IF(V91&gt;0,INDEX('CostModel Coef'!$D$9:$D$13,V91)+INDEX('CostModel Coef'!$E$9:$E$13,V91)+INDEX('CostModel Coef'!$G$9:$G$13,V91)*D91,0)</f>
        <v>689.76899999999978</v>
      </c>
      <c r="Y91" s="82">
        <f>IF(V91&gt;0,INDEX('CostModel Coef'!$J$9:$J$13,V91),0)</f>
        <v>276.012</v>
      </c>
      <c r="Z91" s="112">
        <f>IF(V91&gt;0,INDEX('CostModel Coef'!$M$9:$M$13,V91),0)</f>
        <v>0.2</v>
      </c>
      <c r="AA91" s="110"/>
      <c r="AB91" s="110"/>
      <c r="AC91" s="42">
        <f t="shared" si="2"/>
        <v>827.72279999999967</v>
      </c>
      <c r="AD91" s="42">
        <f t="shared" si="3"/>
        <v>331.21440000000001</v>
      </c>
      <c r="AE91" s="9">
        <f>IF(V91&gt;0,INDEX('CostModel Coef'!$K$9:$K$13,V91),0)</f>
        <v>1.4166666666666667</v>
      </c>
      <c r="AF91" s="9">
        <f>IF(V91&gt;0,INDEX('CostModel Coef'!$L$9:$L$13,V91),0)</f>
        <v>4.833333333333333</v>
      </c>
    </row>
    <row r="92" spans="1:32">
      <c r="A92" s="110" t="s">
        <v>315</v>
      </c>
      <c r="B92" s="110" t="s">
        <v>156</v>
      </c>
      <c r="C92" s="110" t="s">
        <v>302</v>
      </c>
      <c r="D92" s="110">
        <v>16</v>
      </c>
      <c r="E92" s="110">
        <v>12.48</v>
      </c>
      <c r="F92" s="110">
        <v>18</v>
      </c>
      <c r="G92" s="110">
        <v>65</v>
      </c>
      <c r="H92" s="110" t="s">
        <v>157</v>
      </c>
      <c r="I92" s="110">
        <v>0.72399999999999998</v>
      </c>
      <c r="J92" s="110">
        <v>0.23810000000000001</v>
      </c>
      <c r="K92" s="110">
        <v>360</v>
      </c>
      <c r="L92" s="110">
        <v>0.27100000000000002</v>
      </c>
      <c r="M92" s="110">
        <v>0</v>
      </c>
      <c r="N92" s="110">
        <v>100</v>
      </c>
      <c r="O92" s="110" t="s">
        <v>165</v>
      </c>
      <c r="P92" s="110" t="s">
        <v>316</v>
      </c>
      <c r="Q92" s="80" t="s">
        <v>160</v>
      </c>
      <c r="R92" s="110"/>
      <c r="S92" s="110"/>
      <c r="T92" s="110"/>
      <c r="U92" s="110" t="s">
        <v>12</v>
      </c>
      <c r="V92" s="110">
        <f>IFERROR(MATCH(U92,'CostModel Coef'!$C$9:$C$13,0),0)</f>
        <v>2</v>
      </c>
      <c r="W92" s="110"/>
      <c r="X92" s="82">
        <f>IF(V92&gt;0,INDEX('CostModel Coef'!$D$9:$D$13,V92)+INDEX('CostModel Coef'!$E$9:$E$13,V92)+INDEX('CostModel Coef'!$G$9:$G$13,V92)*D92,0)</f>
        <v>920.08899999999994</v>
      </c>
      <c r="Y92" s="82">
        <f>IF(V92&gt;0,INDEX('CostModel Coef'!$J$9:$J$13,V92),0)</f>
        <v>276.012</v>
      </c>
      <c r="Z92" s="112">
        <f>IF(V92&gt;0,INDEX('CostModel Coef'!$M$9:$M$13,V92),0)</f>
        <v>0.2</v>
      </c>
      <c r="AA92" s="110"/>
      <c r="AB92" s="110"/>
      <c r="AC92" s="42">
        <f t="shared" si="2"/>
        <v>1104.1067999999998</v>
      </c>
      <c r="AD92" s="42">
        <f t="shared" si="3"/>
        <v>331.21440000000001</v>
      </c>
      <c r="AE92" s="9">
        <f>IF(V92&gt;0,INDEX('CostModel Coef'!$K$9:$K$13,V92),0)</f>
        <v>1.4166666666666667</v>
      </c>
      <c r="AF92" s="9">
        <f>IF(V92&gt;0,INDEX('CostModel Coef'!$L$9:$L$13,V92),0)</f>
        <v>4.833333333333333</v>
      </c>
    </row>
    <row r="93" spans="1:32">
      <c r="A93" s="110" t="s">
        <v>317</v>
      </c>
      <c r="B93" s="110" t="s">
        <v>156</v>
      </c>
      <c r="C93" s="110" t="s">
        <v>302</v>
      </c>
      <c r="D93" s="110">
        <v>17</v>
      </c>
      <c r="E93" s="110">
        <v>13.26</v>
      </c>
      <c r="F93" s="110">
        <v>18</v>
      </c>
      <c r="G93" s="110">
        <v>65</v>
      </c>
      <c r="H93" s="110" t="s">
        <v>157</v>
      </c>
      <c r="I93" s="110">
        <v>0.72399999999999998</v>
      </c>
      <c r="J93" s="110">
        <v>0.2225</v>
      </c>
      <c r="K93" s="110">
        <v>360</v>
      </c>
      <c r="L93" s="110">
        <v>0.27100000000000002</v>
      </c>
      <c r="M93" s="110">
        <v>0</v>
      </c>
      <c r="N93" s="110">
        <v>100</v>
      </c>
      <c r="O93" s="110" t="s">
        <v>165</v>
      </c>
      <c r="P93" s="110" t="s">
        <v>318</v>
      </c>
      <c r="Q93" s="80" t="s">
        <v>160</v>
      </c>
      <c r="R93" s="110"/>
      <c r="S93" s="110"/>
      <c r="T93" s="110"/>
      <c r="U93" s="110" t="s">
        <v>12</v>
      </c>
      <c r="V93" s="110">
        <f>IFERROR(MATCH(U93,'CostModel Coef'!$C$9:$C$13,0),0)</f>
        <v>2</v>
      </c>
      <c r="W93" s="110"/>
      <c r="X93" s="82">
        <f>IF(V93&gt;0,INDEX('CostModel Coef'!$D$9:$D$13,V93)+INDEX('CostModel Coef'!$E$9:$E$13,V93)+INDEX('CostModel Coef'!$G$9:$G$13,V93)*D93,0)</f>
        <v>1150.4090000000001</v>
      </c>
      <c r="Y93" s="82">
        <f>IF(V93&gt;0,INDEX('CostModel Coef'!$J$9:$J$13,V93),0)</f>
        <v>276.012</v>
      </c>
      <c r="Z93" s="112">
        <f>IF(V93&gt;0,INDEX('CostModel Coef'!$M$9:$M$13,V93),0)</f>
        <v>0.2</v>
      </c>
      <c r="AA93" s="110"/>
      <c r="AB93" s="110"/>
      <c r="AC93" s="42">
        <f t="shared" si="2"/>
        <v>1380.4908</v>
      </c>
      <c r="AD93" s="42">
        <f t="shared" si="3"/>
        <v>331.21440000000001</v>
      </c>
      <c r="AE93" s="9">
        <f>IF(V93&gt;0,INDEX('CostModel Coef'!$K$9:$K$13,V93),0)</f>
        <v>1.4166666666666667</v>
      </c>
      <c r="AF93" s="9">
        <f>IF(V93&gt;0,INDEX('CostModel Coef'!$L$9:$L$13,V93),0)</f>
        <v>4.833333333333333</v>
      </c>
    </row>
    <row r="94" spans="1:32">
      <c r="A94" s="110" t="s">
        <v>319</v>
      </c>
      <c r="B94" s="110" t="s">
        <v>156</v>
      </c>
      <c r="C94" s="110" t="s">
        <v>302</v>
      </c>
      <c r="D94" s="110">
        <v>18</v>
      </c>
      <c r="E94" s="110">
        <v>14.04</v>
      </c>
      <c r="F94" s="110">
        <v>18</v>
      </c>
      <c r="G94" s="110">
        <v>65</v>
      </c>
      <c r="H94" s="110" t="s">
        <v>157</v>
      </c>
      <c r="I94" s="110">
        <v>0.72399999999999998</v>
      </c>
      <c r="J94" s="110">
        <v>0.20860000000000001</v>
      </c>
      <c r="K94" s="110">
        <v>360</v>
      </c>
      <c r="L94" s="110">
        <v>0.27100000000000002</v>
      </c>
      <c r="M94" s="110">
        <v>0</v>
      </c>
      <c r="N94" s="110">
        <v>100</v>
      </c>
      <c r="O94" s="110" t="s">
        <v>165</v>
      </c>
      <c r="P94" s="110" t="s">
        <v>320</v>
      </c>
      <c r="Q94" s="80" t="s">
        <v>160</v>
      </c>
      <c r="R94" s="110"/>
      <c r="S94" s="110"/>
      <c r="T94" s="110"/>
      <c r="U94" s="110" t="s">
        <v>12</v>
      </c>
      <c r="V94" s="110">
        <f>IFERROR(MATCH(U94,'CostModel Coef'!$C$9:$C$13,0),0)</f>
        <v>2</v>
      </c>
      <c r="W94" s="110"/>
      <c r="X94" s="82">
        <f>IF(V94&gt;0,INDEX('CostModel Coef'!$D$9:$D$13,V94)+INDEX('CostModel Coef'!$E$9:$E$13,V94)+INDEX('CostModel Coef'!$G$9:$G$13,V94)*D94,0)</f>
        <v>1380.7290000000003</v>
      </c>
      <c r="Y94" s="82">
        <f>IF(V94&gt;0,INDEX('CostModel Coef'!$J$9:$J$13,V94),0)</f>
        <v>276.012</v>
      </c>
      <c r="Z94" s="112">
        <f>IF(V94&gt;0,INDEX('CostModel Coef'!$M$9:$M$13,V94),0)</f>
        <v>0.2</v>
      </c>
      <c r="AA94" s="110"/>
      <c r="AB94" s="110"/>
      <c r="AC94" s="42">
        <f t="shared" si="2"/>
        <v>1656.8748000000003</v>
      </c>
      <c r="AD94" s="42">
        <f t="shared" si="3"/>
        <v>331.21440000000001</v>
      </c>
      <c r="AE94" s="9">
        <f>IF(V94&gt;0,INDEX('CostModel Coef'!$K$9:$K$13,V94),0)</f>
        <v>1.4166666666666667</v>
      </c>
      <c r="AF94" s="9">
        <f>IF(V94&gt;0,INDEX('CostModel Coef'!$L$9:$L$13,V94),0)</f>
        <v>4.833333333333333</v>
      </c>
    </row>
    <row r="95" spans="1:32">
      <c r="A95" s="110" t="s">
        <v>321</v>
      </c>
      <c r="B95" s="110" t="s">
        <v>156</v>
      </c>
      <c r="C95" s="110" t="s">
        <v>302</v>
      </c>
      <c r="D95" s="110">
        <v>19</v>
      </c>
      <c r="E95" s="110">
        <v>14.82</v>
      </c>
      <c r="F95" s="110">
        <v>18</v>
      </c>
      <c r="G95" s="110">
        <v>65</v>
      </c>
      <c r="H95" s="110" t="s">
        <v>157</v>
      </c>
      <c r="I95" s="110">
        <v>0.72399999999999998</v>
      </c>
      <c r="J95" s="110">
        <v>0.20100000000000001</v>
      </c>
      <c r="K95" s="110">
        <v>360</v>
      </c>
      <c r="L95" s="110">
        <v>0.23300000000000001</v>
      </c>
      <c r="M95" s="110">
        <v>0</v>
      </c>
      <c r="N95" s="110">
        <v>100</v>
      </c>
      <c r="O95" s="110" t="s">
        <v>165</v>
      </c>
      <c r="P95" s="110" t="s">
        <v>322</v>
      </c>
      <c r="Q95" s="80" t="s">
        <v>160</v>
      </c>
      <c r="R95" s="110"/>
      <c r="S95" s="110"/>
      <c r="T95" s="110"/>
      <c r="U95" s="110" t="s">
        <v>161</v>
      </c>
      <c r="V95" s="110">
        <f>IFERROR(MATCH(U95,'CostModel Coef'!$C$9:$C$13,0),0)</f>
        <v>0</v>
      </c>
      <c r="W95" s="110"/>
      <c r="X95" s="82">
        <f>IF(V95&gt;0,INDEX('CostModel Coef'!$D$9:$D$13,V95)+INDEX('CostModel Coef'!$E$9:$E$13,V95)+INDEX('CostModel Coef'!$G$9:$G$13,V95)*D95,0)</f>
        <v>0</v>
      </c>
      <c r="Y95" s="82">
        <f>IF(V95&gt;0,INDEX('CostModel Coef'!$J$9:$J$13,V95),0)</f>
        <v>0</v>
      </c>
      <c r="Z95" s="112">
        <f>IF(V95&gt;0,INDEX('CostModel Coef'!$M$9:$M$13,V95),0)</f>
        <v>0</v>
      </c>
      <c r="AA95" s="110"/>
      <c r="AB95" s="110"/>
      <c r="AC95" s="42">
        <f t="shared" si="2"/>
        <v>0</v>
      </c>
      <c r="AD95" s="42">
        <f t="shared" si="3"/>
        <v>0</v>
      </c>
      <c r="AE95" s="9">
        <f>IF(V95&gt;0,INDEX('CostModel Coef'!$K$9:$K$13,V95),0)</f>
        <v>0</v>
      </c>
      <c r="AF95" s="9">
        <f>IF(V95&gt;0,INDEX('CostModel Coef'!$L$9:$L$13,V95),0)</f>
        <v>0</v>
      </c>
    </row>
    <row r="96" spans="1:32">
      <c r="A96" s="110" t="s">
        <v>323</v>
      </c>
      <c r="B96" s="110" t="s">
        <v>156</v>
      </c>
      <c r="C96" s="110" t="s">
        <v>302</v>
      </c>
      <c r="D96" s="110">
        <v>20</v>
      </c>
      <c r="E96" s="110">
        <v>15.6</v>
      </c>
      <c r="F96" s="110">
        <v>18</v>
      </c>
      <c r="G96" s="110">
        <v>65</v>
      </c>
      <c r="H96" s="110" t="s">
        <v>157</v>
      </c>
      <c r="I96" s="110">
        <v>0.72399999999999998</v>
      </c>
      <c r="J96" s="110">
        <v>0.18970000000000001</v>
      </c>
      <c r="K96" s="110">
        <v>360</v>
      </c>
      <c r="L96" s="110">
        <v>0.23300000000000001</v>
      </c>
      <c r="M96" s="110">
        <v>0</v>
      </c>
      <c r="N96" s="110">
        <v>100</v>
      </c>
      <c r="O96" s="110" t="s">
        <v>165</v>
      </c>
      <c r="P96" s="110" t="s">
        <v>324</v>
      </c>
      <c r="Q96" s="80" t="s">
        <v>160</v>
      </c>
      <c r="R96" s="110"/>
      <c r="S96" s="110"/>
      <c r="T96" s="110"/>
      <c r="U96" s="110" t="s">
        <v>161</v>
      </c>
      <c r="V96" s="110">
        <f>IFERROR(MATCH(U96,'CostModel Coef'!$C$9:$C$13,0),0)</f>
        <v>0</v>
      </c>
      <c r="W96" s="110"/>
      <c r="X96" s="82">
        <f>IF(V96&gt;0,INDEX('CostModel Coef'!$D$9:$D$13,V96)+INDEX('CostModel Coef'!$E$9:$E$13,V96)+INDEX('CostModel Coef'!$G$9:$G$13,V96)*D96,0)</f>
        <v>0</v>
      </c>
      <c r="Y96" s="82">
        <f>IF(V96&gt;0,INDEX('CostModel Coef'!$J$9:$J$13,V96),0)</f>
        <v>0</v>
      </c>
      <c r="Z96" s="112">
        <f>IF(V96&gt;0,INDEX('CostModel Coef'!$M$9:$M$13,V96),0)</f>
        <v>0</v>
      </c>
      <c r="AA96" s="110"/>
      <c r="AB96" s="110"/>
      <c r="AC96" s="42">
        <f t="shared" si="2"/>
        <v>0</v>
      </c>
      <c r="AD96" s="42">
        <f t="shared" si="3"/>
        <v>0</v>
      </c>
      <c r="AE96" s="9">
        <f>IF(V96&gt;0,INDEX('CostModel Coef'!$K$9:$K$13,V96),0)</f>
        <v>0</v>
      </c>
      <c r="AF96" s="9">
        <f>IF(V96&gt;0,INDEX('CostModel Coef'!$L$9:$L$13,V96),0)</f>
        <v>0</v>
      </c>
    </row>
    <row r="97" spans="1:32">
      <c r="A97" s="110" t="s">
        <v>325</v>
      </c>
      <c r="B97" s="110" t="s">
        <v>156</v>
      </c>
      <c r="C97" s="110" t="s">
        <v>302</v>
      </c>
      <c r="D97" s="110">
        <v>21</v>
      </c>
      <c r="E97" s="110">
        <v>16.38</v>
      </c>
      <c r="F97" s="110">
        <v>18</v>
      </c>
      <c r="G97" s="110">
        <v>65</v>
      </c>
      <c r="H97" s="110" t="s">
        <v>157</v>
      </c>
      <c r="I97" s="110">
        <v>0.72399999999999998</v>
      </c>
      <c r="J97" s="110">
        <v>0.17949999999999999</v>
      </c>
      <c r="K97" s="110">
        <v>360</v>
      </c>
      <c r="L97" s="110">
        <v>0.23300000000000001</v>
      </c>
      <c r="M97" s="110">
        <v>0</v>
      </c>
      <c r="N97" s="110">
        <v>100</v>
      </c>
      <c r="O97" s="110" t="s">
        <v>165</v>
      </c>
      <c r="P97" s="110" t="s">
        <v>326</v>
      </c>
      <c r="Q97" s="80" t="s">
        <v>160</v>
      </c>
      <c r="R97" s="110"/>
      <c r="S97" s="110"/>
      <c r="T97" s="110"/>
      <c r="U97" s="110" t="s">
        <v>161</v>
      </c>
      <c r="V97" s="110">
        <f>IFERROR(MATCH(U97,'CostModel Coef'!$C$9:$C$13,0),0)</f>
        <v>0</v>
      </c>
      <c r="W97" s="110"/>
      <c r="X97" s="82">
        <f>IF(V97&gt;0,INDEX('CostModel Coef'!$D$9:$D$13,V97)+INDEX('CostModel Coef'!$E$9:$E$13,V97)+INDEX('CostModel Coef'!$G$9:$G$13,V97)*D97,0)</f>
        <v>0</v>
      </c>
      <c r="Y97" s="82">
        <f>IF(V97&gt;0,INDEX('CostModel Coef'!$J$9:$J$13,V97),0)</f>
        <v>0</v>
      </c>
      <c r="Z97" s="112">
        <f>IF(V97&gt;0,INDEX('CostModel Coef'!$M$9:$M$13,V97),0)</f>
        <v>0</v>
      </c>
      <c r="AA97" s="110"/>
      <c r="AB97" s="110"/>
      <c r="AC97" s="42">
        <f t="shared" si="2"/>
        <v>0</v>
      </c>
      <c r="AD97" s="42">
        <f t="shared" si="3"/>
        <v>0</v>
      </c>
      <c r="AE97" s="9">
        <f>IF(V97&gt;0,INDEX('CostModel Coef'!$K$9:$K$13,V97),0)</f>
        <v>0</v>
      </c>
      <c r="AF97" s="9">
        <f>IF(V97&gt;0,INDEX('CostModel Coef'!$L$9:$L$13,V97),0)</f>
        <v>0</v>
      </c>
    </row>
    <row r="98" spans="1:32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82"/>
      <c r="Y98" s="82"/>
      <c r="Z98" s="110"/>
      <c r="AA98" s="110"/>
      <c r="AB98" s="110"/>
      <c r="AC98" s="7"/>
      <c r="AD98" s="7"/>
      <c r="AE98" s="7"/>
      <c r="AF98" s="7"/>
    </row>
    <row r="99" spans="1:32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82"/>
      <c r="Y99" s="82"/>
      <c r="Z99" s="110"/>
      <c r="AA99" s="110"/>
      <c r="AB99" s="110"/>
      <c r="AC99" s="7"/>
      <c r="AD99" s="7"/>
      <c r="AE99" s="7"/>
      <c r="AF99" s="7"/>
    </row>
    <row r="100" spans="1:32" ht="15.75" thickBot="1">
      <c r="A100" s="12" t="s">
        <v>134</v>
      </c>
      <c r="B100" s="12" t="s">
        <v>135</v>
      </c>
      <c r="C100" s="12" t="s">
        <v>101</v>
      </c>
      <c r="D100" s="12" t="s">
        <v>115</v>
      </c>
      <c r="E100" s="12" t="s">
        <v>117</v>
      </c>
      <c r="F100" s="12" t="s">
        <v>327</v>
      </c>
      <c r="G100" s="12" t="s">
        <v>328</v>
      </c>
      <c r="H100" s="12" t="s">
        <v>138</v>
      </c>
      <c r="I100" s="12" t="s">
        <v>139</v>
      </c>
      <c r="J100" s="12" t="s">
        <v>140</v>
      </c>
      <c r="K100" s="12" t="s">
        <v>141</v>
      </c>
      <c r="L100" s="12" t="s">
        <v>142</v>
      </c>
      <c r="M100" s="12" t="s">
        <v>143</v>
      </c>
      <c r="N100" s="12" t="s">
        <v>144</v>
      </c>
      <c r="O100" s="12" t="s">
        <v>147</v>
      </c>
      <c r="P100" s="12" t="s">
        <v>145</v>
      </c>
      <c r="Q100" s="12" t="s">
        <v>146</v>
      </c>
      <c r="R100" s="12" t="s">
        <v>148</v>
      </c>
      <c r="S100" s="110"/>
      <c r="T100" s="110"/>
      <c r="U100" s="110"/>
      <c r="V100" s="110"/>
      <c r="W100" s="110"/>
      <c r="X100" s="82"/>
      <c r="Y100" s="82"/>
      <c r="Z100" s="110"/>
      <c r="AA100" s="110"/>
      <c r="AB100" s="110"/>
      <c r="AC100" s="7"/>
      <c r="AD100" s="7"/>
      <c r="AE100" s="7"/>
      <c r="AF100" s="7"/>
    </row>
    <row r="101" spans="1:32">
      <c r="A101" s="110" t="s">
        <v>329</v>
      </c>
      <c r="B101" s="110" t="s">
        <v>156</v>
      </c>
      <c r="C101" s="110" t="s">
        <v>116</v>
      </c>
      <c r="D101" s="110">
        <v>14</v>
      </c>
      <c r="E101" s="110">
        <v>11.11</v>
      </c>
      <c r="F101" s="110">
        <v>8</v>
      </c>
      <c r="G101" s="110">
        <v>3.17</v>
      </c>
      <c r="H101" s="110">
        <v>55</v>
      </c>
      <c r="I101" s="110">
        <v>65</v>
      </c>
      <c r="J101" s="110" t="s">
        <v>157</v>
      </c>
      <c r="K101" s="110">
        <v>0.71699999999999997</v>
      </c>
      <c r="L101" s="110">
        <v>0.27050000000000002</v>
      </c>
      <c r="M101" s="110">
        <v>335.4</v>
      </c>
      <c r="N101" s="110">
        <v>0.29399999999999998</v>
      </c>
      <c r="O101" s="110" t="s">
        <v>165</v>
      </c>
      <c r="P101" s="110">
        <v>0</v>
      </c>
      <c r="Q101" s="110">
        <v>100</v>
      </c>
      <c r="R101" s="110" t="s">
        <v>330</v>
      </c>
      <c r="S101" s="80" t="s">
        <v>160</v>
      </c>
      <c r="T101" s="110"/>
      <c r="U101" s="110" t="s">
        <v>18</v>
      </c>
      <c r="V101" s="110">
        <f>IFERROR(MATCH(U101,'CostModel Coef'!$C$9:$C$13,0),0)</f>
        <v>5</v>
      </c>
      <c r="W101" s="110"/>
      <c r="X101" s="82">
        <f>IF(V101&gt;0,INDEX('CostModel Coef'!$D$9:$D$13,V101)+INDEX('CostModel Coef'!$E$9:$E$13,V101)+INDEX('CostModel Coef'!$G$9:$G$13,V101)*D101,0)</f>
        <v>2231.3590000000004</v>
      </c>
      <c r="Y101" s="82">
        <f>IF(V101&gt;0,INDEX('CostModel Coef'!$J$9:$J$13,V101),0)</f>
        <v>298.71600000000001</v>
      </c>
      <c r="Z101" s="112">
        <f>IF(V101&gt;0,INDEX('CostModel Coef'!$M$9:$M$13,V101),0)</f>
        <v>0.2</v>
      </c>
      <c r="AA101" s="110"/>
      <c r="AB101" s="110"/>
      <c r="AC101" s="42">
        <f t="shared" ref="AC101:AC110" si="4">+X101*(1+Z101)</f>
        <v>2677.6308000000004</v>
      </c>
      <c r="AD101" s="42">
        <f t="shared" ref="AD101:AD110" si="5">+Y101*(1+Z101)</f>
        <v>358.45920000000001</v>
      </c>
      <c r="AE101" s="9">
        <f>IF(V101&gt;0,INDEX('CostModel Coef'!$K$9:$K$13,V101),0)</f>
        <v>2</v>
      </c>
      <c r="AF101" s="9">
        <f>IF(V101&gt;0,INDEX('CostModel Coef'!$L$9:$L$13,V101),0)</f>
        <v>5</v>
      </c>
    </row>
    <row r="102" spans="1:32">
      <c r="A102" s="110" t="s">
        <v>331</v>
      </c>
      <c r="B102" s="110" t="s">
        <v>156</v>
      </c>
      <c r="C102" s="110" t="s">
        <v>116</v>
      </c>
      <c r="D102" s="110">
        <v>15</v>
      </c>
      <c r="E102" s="110">
        <v>11.91</v>
      </c>
      <c r="F102" s="110">
        <v>8.1999999999999993</v>
      </c>
      <c r="G102" s="110">
        <v>3.24</v>
      </c>
      <c r="H102" s="110">
        <v>55</v>
      </c>
      <c r="I102" s="110">
        <v>65</v>
      </c>
      <c r="J102" s="110" t="s">
        <v>157</v>
      </c>
      <c r="K102" s="110">
        <v>0.71699999999999997</v>
      </c>
      <c r="L102" s="110">
        <v>0.25590000000000002</v>
      </c>
      <c r="M102" s="110">
        <v>335.4</v>
      </c>
      <c r="N102" s="110">
        <v>0.251</v>
      </c>
      <c r="O102" s="110" t="s">
        <v>165</v>
      </c>
      <c r="P102" s="110">
        <v>0</v>
      </c>
      <c r="Q102" s="110">
        <v>100</v>
      </c>
      <c r="R102" s="110" t="s">
        <v>332</v>
      </c>
      <c r="S102" s="80" t="s">
        <v>160</v>
      </c>
      <c r="T102" s="110"/>
      <c r="U102" s="110" t="s">
        <v>18</v>
      </c>
      <c r="V102" s="110">
        <f>IFERROR(MATCH(U102,'CostModel Coef'!$C$9:$C$13,0),0)</f>
        <v>5</v>
      </c>
      <c r="W102" s="110"/>
      <c r="X102" s="82">
        <f>IF(V102&gt;0,INDEX('CostModel Coef'!$D$9:$D$13,V102)+INDEX('CostModel Coef'!$E$9:$E$13,V102)+INDEX('CostModel Coef'!$G$9:$G$13,V102)*D102,0)</f>
        <v>2586.2690000000002</v>
      </c>
      <c r="Y102" s="82">
        <f>IF(V102&gt;0,INDEX('CostModel Coef'!$J$9:$J$13,V102),0)</f>
        <v>298.71600000000001</v>
      </c>
      <c r="Z102" s="112">
        <f>IF(V102&gt;0,INDEX('CostModel Coef'!$M$9:$M$13,V102),0)</f>
        <v>0.2</v>
      </c>
      <c r="AA102" s="110"/>
      <c r="AB102" s="110"/>
      <c r="AC102" s="42">
        <f t="shared" si="4"/>
        <v>3103.5228000000002</v>
      </c>
      <c r="AD102" s="42">
        <f t="shared" si="5"/>
        <v>358.45920000000001</v>
      </c>
      <c r="AE102" s="9">
        <f>IF(V102&gt;0,INDEX('CostModel Coef'!$K$9:$K$13,V102),0)</f>
        <v>2</v>
      </c>
      <c r="AF102" s="9">
        <f>IF(V102&gt;0,INDEX('CostModel Coef'!$L$9:$L$13,V102),0)</f>
        <v>5</v>
      </c>
    </row>
    <row r="103" spans="1:32">
      <c r="A103" s="110" t="s">
        <v>333</v>
      </c>
      <c r="B103" s="110" t="s">
        <v>156</v>
      </c>
      <c r="C103" s="110" t="s">
        <v>116</v>
      </c>
      <c r="D103" s="110">
        <v>16</v>
      </c>
      <c r="E103" s="110">
        <v>12.48</v>
      </c>
      <c r="F103" s="110">
        <v>8.5</v>
      </c>
      <c r="G103" s="110">
        <v>3.37</v>
      </c>
      <c r="H103" s="110">
        <v>55</v>
      </c>
      <c r="I103" s="110">
        <v>65</v>
      </c>
      <c r="J103" s="110" t="s">
        <v>157</v>
      </c>
      <c r="K103" s="110">
        <v>0.72399999999999998</v>
      </c>
      <c r="L103" s="110">
        <v>0.23810000000000001</v>
      </c>
      <c r="M103" s="110">
        <v>360</v>
      </c>
      <c r="N103" s="110">
        <v>0.27100000000000002</v>
      </c>
      <c r="O103" s="110" t="s">
        <v>165</v>
      </c>
      <c r="P103" s="110">
        <v>0</v>
      </c>
      <c r="Q103" s="110">
        <v>100</v>
      </c>
      <c r="R103" s="110" t="s">
        <v>334</v>
      </c>
      <c r="S103" s="80" t="s">
        <v>160</v>
      </c>
      <c r="T103" s="110"/>
      <c r="U103" s="110" t="s">
        <v>18</v>
      </c>
      <c r="V103" s="110">
        <f>IFERROR(MATCH(U103,'CostModel Coef'!$C$9:$C$13,0),0)</f>
        <v>5</v>
      </c>
      <c r="W103" s="110"/>
      <c r="X103" s="82">
        <f>IF(V103&gt;0,INDEX('CostModel Coef'!$D$9:$D$13,V103)+INDEX('CostModel Coef'!$E$9:$E$13,V103)+INDEX('CostModel Coef'!$G$9:$G$13,V103)*D103,0)</f>
        <v>2941.1790000000001</v>
      </c>
      <c r="Y103" s="82">
        <f>IF(V103&gt;0,INDEX('CostModel Coef'!$J$9:$J$13,V103),0)</f>
        <v>298.71600000000001</v>
      </c>
      <c r="Z103" s="112">
        <f>IF(V103&gt;0,INDEX('CostModel Coef'!$M$9:$M$13,V103),0)</f>
        <v>0.2</v>
      </c>
      <c r="AA103" s="110"/>
      <c r="AB103" s="110"/>
      <c r="AC103" s="42">
        <f t="shared" si="4"/>
        <v>3529.4148</v>
      </c>
      <c r="AD103" s="42">
        <f t="shared" si="5"/>
        <v>358.45920000000001</v>
      </c>
      <c r="AE103" s="9">
        <f>IF(V103&gt;0,INDEX('CostModel Coef'!$K$9:$K$13,V103),0)</f>
        <v>2</v>
      </c>
      <c r="AF103" s="9">
        <f>IF(V103&gt;0,INDEX('CostModel Coef'!$L$9:$L$13,V103),0)</f>
        <v>5</v>
      </c>
    </row>
    <row r="104" spans="1:32">
      <c r="A104" s="110" t="s">
        <v>335</v>
      </c>
      <c r="B104" s="110" t="s">
        <v>156</v>
      </c>
      <c r="C104" s="110" t="s">
        <v>116</v>
      </c>
      <c r="D104" s="110">
        <v>17</v>
      </c>
      <c r="E104" s="110">
        <v>13.26</v>
      </c>
      <c r="F104" s="110">
        <v>9</v>
      </c>
      <c r="G104" s="110">
        <v>3.57</v>
      </c>
      <c r="H104" s="110">
        <v>55</v>
      </c>
      <c r="I104" s="110">
        <v>65</v>
      </c>
      <c r="J104" s="110" t="s">
        <v>157</v>
      </c>
      <c r="K104" s="110">
        <v>0.72399999999999998</v>
      </c>
      <c r="L104" s="110">
        <v>0.2225</v>
      </c>
      <c r="M104" s="110">
        <v>360</v>
      </c>
      <c r="N104" s="110">
        <v>0.27100000000000002</v>
      </c>
      <c r="O104" s="110" t="s">
        <v>165</v>
      </c>
      <c r="P104" s="110">
        <v>0</v>
      </c>
      <c r="Q104" s="110">
        <v>100</v>
      </c>
      <c r="R104" s="110" t="s">
        <v>336</v>
      </c>
      <c r="S104" s="80" t="s">
        <v>160</v>
      </c>
      <c r="T104" s="110"/>
      <c r="U104" s="110" t="s">
        <v>18</v>
      </c>
      <c r="V104" s="110">
        <f>IFERROR(MATCH(U104,'CostModel Coef'!$C$9:$C$13,0),0)</f>
        <v>5</v>
      </c>
      <c r="W104" s="110"/>
      <c r="X104" s="82">
        <f>IF(V104&gt;0,INDEX('CostModel Coef'!$D$9:$D$13,V104)+INDEX('CostModel Coef'!$E$9:$E$13,V104)+INDEX('CostModel Coef'!$G$9:$G$13,V104)*D104,0)</f>
        <v>3296.0889999999999</v>
      </c>
      <c r="Y104" s="82">
        <f>IF(V104&gt;0,INDEX('CostModel Coef'!$J$9:$J$13,V104),0)</f>
        <v>298.71600000000001</v>
      </c>
      <c r="Z104" s="112">
        <f>IF(V104&gt;0,INDEX('CostModel Coef'!$M$9:$M$13,V104),0)</f>
        <v>0.2</v>
      </c>
      <c r="AA104" s="110"/>
      <c r="AB104" s="110"/>
      <c r="AC104" s="42">
        <f t="shared" si="4"/>
        <v>3955.3067999999998</v>
      </c>
      <c r="AD104" s="42">
        <f t="shared" si="5"/>
        <v>358.45920000000001</v>
      </c>
      <c r="AE104" s="9">
        <f>IF(V104&gt;0,INDEX('CostModel Coef'!$K$9:$K$13,V104),0)</f>
        <v>2</v>
      </c>
      <c r="AF104" s="9">
        <f>IF(V104&gt;0,INDEX('CostModel Coef'!$L$9:$L$13,V104),0)</f>
        <v>5</v>
      </c>
    </row>
    <row r="105" spans="1:32">
      <c r="A105" s="110" t="s">
        <v>337</v>
      </c>
      <c r="B105" s="110" t="s">
        <v>156</v>
      </c>
      <c r="C105" s="110" t="s">
        <v>116</v>
      </c>
      <c r="D105" s="110">
        <v>14</v>
      </c>
      <c r="E105" s="110">
        <v>11.93</v>
      </c>
      <c r="F105" s="110">
        <v>8</v>
      </c>
      <c r="G105" s="110">
        <v>3.39</v>
      </c>
      <c r="H105" s="110">
        <v>18</v>
      </c>
      <c r="I105" s="110">
        <v>55</v>
      </c>
      <c r="J105" s="110" t="s">
        <v>157</v>
      </c>
      <c r="K105" s="110">
        <v>0.74399999999999999</v>
      </c>
      <c r="L105" s="110">
        <v>0.2447</v>
      </c>
      <c r="M105" s="110">
        <v>385.2</v>
      </c>
      <c r="N105" s="110">
        <v>0.29399999999999998</v>
      </c>
      <c r="O105" s="110" t="s">
        <v>158</v>
      </c>
      <c r="P105" s="110">
        <v>0</v>
      </c>
      <c r="Q105" s="110">
        <v>100</v>
      </c>
      <c r="R105" s="110" t="s">
        <v>338</v>
      </c>
      <c r="S105" s="80" t="s">
        <v>160</v>
      </c>
      <c r="T105" s="110"/>
      <c r="U105" s="110" t="s">
        <v>18</v>
      </c>
      <c r="V105" s="110">
        <f>IFERROR(MATCH(U105,'CostModel Coef'!$C$9:$C$13,0),0)</f>
        <v>5</v>
      </c>
      <c r="W105" s="110"/>
      <c r="X105" s="82">
        <f>IF(V105&gt;0,INDEX('CostModel Coef'!$D$9:$D$13,V105)+INDEX('CostModel Coef'!$E$9:$E$13,V105)+INDEX('CostModel Coef'!$G$9:$G$13,V105)*D105,0)</f>
        <v>2231.3590000000004</v>
      </c>
      <c r="Y105" s="82">
        <f>IF(V105&gt;0,INDEX('CostModel Coef'!$J$9:$J$13,V105),0)</f>
        <v>298.71600000000001</v>
      </c>
      <c r="Z105" s="112">
        <f>IF(V105&gt;0,INDEX('CostModel Coef'!$M$9:$M$13,V105),0)</f>
        <v>0.2</v>
      </c>
      <c r="AA105" s="110"/>
      <c r="AB105" s="110"/>
      <c r="AC105" s="42">
        <f t="shared" si="4"/>
        <v>2677.6308000000004</v>
      </c>
      <c r="AD105" s="42">
        <f t="shared" si="5"/>
        <v>358.45920000000001</v>
      </c>
      <c r="AE105" s="9">
        <f>IF(V105&gt;0,INDEX('CostModel Coef'!$K$9:$K$13,V105),0)</f>
        <v>2</v>
      </c>
      <c r="AF105" s="9">
        <f>IF(V105&gt;0,INDEX('CostModel Coef'!$L$9:$L$13,V105),0)</f>
        <v>5</v>
      </c>
    </row>
    <row r="106" spans="1:32">
      <c r="A106" s="110" t="s">
        <v>339</v>
      </c>
      <c r="B106" s="110" t="s">
        <v>156</v>
      </c>
      <c r="C106" s="110" t="s">
        <v>116</v>
      </c>
      <c r="D106" s="110">
        <v>15</v>
      </c>
      <c r="E106" s="110">
        <v>12.78</v>
      </c>
      <c r="F106" s="110">
        <v>8.1999999999999993</v>
      </c>
      <c r="G106" s="110">
        <v>3.48</v>
      </c>
      <c r="H106" s="110">
        <v>18</v>
      </c>
      <c r="I106" s="110">
        <v>65</v>
      </c>
      <c r="J106" s="110" t="s">
        <v>157</v>
      </c>
      <c r="K106" s="110">
        <v>0.74399999999999999</v>
      </c>
      <c r="L106" s="110">
        <v>0.22620000000000001</v>
      </c>
      <c r="M106" s="110">
        <v>385.2</v>
      </c>
      <c r="N106" s="110">
        <v>0.29399999999999998</v>
      </c>
      <c r="O106" s="110" t="s">
        <v>158</v>
      </c>
      <c r="P106" s="110">
        <v>0</v>
      </c>
      <c r="Q106" s="110">
        <v>100</v>
      </c>
      <c r="R106" s="110" t="s">
        <v>340</v>
      </c>
      <c r="S106" s="80" t="s">
        <v>160</v>
      </c>
      <c r="T106" s="110"/>
      <c r="U106" s="110" t="s">
        <v>18</v>
      </c>
      <c r="V106" s="110">
        <f>IFERROR(MATCH(U106,'CostModel Coef'!$C$9:$C$13,0),0)</f>
        <v>5</v>
      </c>
      <c r="W106" s="110"/>
      <c r="X106" s="82">
        <f>IF(V106&gt;0,INDEX('CostModel Coef'!$D$9:$D$13,V106)+INDEX('CostModel Coef'!$E$9:$E$13,V106)+INDEX('CostModel Coef'!$G$9:$G$13,V106)*D106,0)</f>
        <v>2586.2690000000002</v>
      </c>
      <c r="Y106" s="82">
        <f>IF(V106&gt;0,INDEX('CostModel Coef'!$J$9:$J$13,V106),0)</f>
        <v>298.71600000000001</v>
      </c>
      <c r="Z106" s="112">
        <f>IF(V106&gt;0,INDEX('CostModel Coef'!$M$9:$M$13,V106),0)</f>
        <v>0.2</v>
      </c>
      <c r="AA106" s="110"/>
      <c r="AB106" s="110"/>
      <c r="AC106" s="42">
        <f t="shared" si="4"/>
        <v>3103.5228000000002</v>
      </c>
      <c r="AD106" s="42">
        <f t="shared" si="5"/>
        <v>358.45920000000001</v>
      </c>
      <c r="AE106" s="9">
        <f>IF(V106&gt;0,INDEX('CostModel Coef'!$K$9:$K$13,V106),0)</f>
        <v>2</v>
      </c>
      <c r="AF106" s="9">
        <f>IF(V106&gt;0,INDEX('CostModel Coef'!$L$9:$L$13,V106),0)</f>
        <v>5</v>
      </c>
    </row>
    <row r="107" spans="1:32">
      <c r="A107" s="110" t="s">
        <v>341</v>
      </c>
      <c r="B107" s="110" t="s">
        <v>156</v>
      </c>
      <c r="C107" s="110" t="s">
        <v>116</v>
      </c>
      <c r="D107" s="110">
        <v>16</v>
      </c>
      <c r="E107" s="110">
        <v>12.48</v>
      </c>
      <c r="F107" s="110">
        <v>8.5</v>
      </c>
      <c r="G107" s="110">
        <v>3.37</v>
      </c>
      <c r="H107" s="110">
        <v>18</v>
      </c>
      <c r="I107" s="110">
        <v>65</v>
      </c>
      <c r="J107" s="110" t="s">
        <v>157</v>
      </c>
      <c r="K107" s="110">
        <v>0.72399999999999998</v>
      </c>
      <c r="L107" s="110">
        <v>0.23810000000000001</v>
      </c>
      <c r="M107" s="110">
        <v>360</v>
      </c>
      <c r="N107" s="110">
        <v>0.27100000000000002</v>
      </c>
      <c r="O107" s="110" t="s">
        <v>165</v>
      </c>
      <c r="P107" s="110">
        <v>0</v>
      </c>
      <c r="Q107" s="110">
        <v>100</v>
      </c>
      <c r="R107" s="110" t="s">
        <v>342</v>
      </c>
      <c r="S107" s="80" t="s">
        <v>160</v>
      </c>
      <c r="T107" s="110"/>
      <c r="U107" s="110" t="s">
        <v>18</v>
      </c>
      <c r="V107" s="110">
        <f>IFERROR(MATCH(U107,'CostModel Coef'!$C$9:$C$13,0),0)</f>
        <v>5</v>
      </c>
      <c r="W107" s="110"/>
      <c r="X107" s="82">
        <f>IF(V107&gt;0,INDEX('CostModel Coef'!$D$9:$D$13,V107)+INDEX('CostModel Coef'!$E$9:$E$13,V107)+INDEX('CostModel Coef'!$G$9:$G$13,V107)*D107,0)</f>
        <v>2941.1790000000001</v>
      </c>
      <c r="Y107" s="82">
        <f>IF(V107&gt;0,INDEX('CostModel Coef'!$J$9:$J$13,V107),0)</f>
        <v>298.71600000000001</v>
      </c>
      <c r="Z107" s="112">
        <f>IF(V107&gt;0,INDEX('CostModel Coef'!$M$9:$M$13,V107),0)</f>
        <v>0.2</v>
      </c>
      <c r="AA107" s="110"/>
      <c r="AB107" s="110"/>
      <c r="AC107" s="42">
        <f t="shared" si="4"/>
        <v>3529.4148</v>
      </c>
      <c r="AD107" s="42">
        <f t="shared" si="5"/>
        <v>358.45920000000001</v>
      </c>
      <c r="AE107" s="9">
        <f>IF(V107&gt;0,INDEX('CostModel Coef'!$K$9:$K$13,V107),0)</f>
        <v>2</v>
      </c>
      <c r="AF107" s="9">
        <f>IF(V107&gt;0,INDEX('CostModel Coef'!$L$9:$L$13,V107),0)</f>
        <v>5</v>
      </c>
    </row>
    <row r="108" spans="1:32">
      <c r="A108" s="110" t="s">
        <v>343</v>
      </c>
      <c r="B108" s="110" t="s">
        <v>156</v>
      </c>
      <c r="C108" s="110" t="s">
        <v>116</v>
      </c>
      <c r="D108" s="110">
        <v>17</v>
      </c>
      <c r="E108" s="110">
        <v>13.26</v>
      </c>
      <c r="F108" s="110">
        <v>9</v>
      </c>
      <c r="G108" s="110">
        <v>3.57</v>
      </c>
      <c r="H108" s="110">
        <v>18</v>
      </c>
      <c r="I108" s="110">
        <v>65</v>
      </c>
      <c r="J108" s="110" t="s">
        <v>157</v>
      </c>
      <c r="K108" s="110">
        <v>0.72399999999999998</v>
      </c>
      <c r="L108" s="110">
        <v>0.2225</v>
      </c>
      <c r="M108" s="110">
        <v>360</v>
      </c>
      <c r="N108" s="110">
        <v>0.27100000000000002</v>
      </c>
      <c r="O108" s="110" t="s">
        <v>165</v>
      </c>
      <c r="P108" s="110">
        <v>0</v>
      </c>
      <c r="Q108" s="110">
        <v>100</v>
      </c>
      <c r="R108" s="110" t="s">
        <v>344</v>
      </c>
      <c r="S108" s="80" t="s">
        <v>160</v>
      </c>
      <c r="T108" s="110"/>
      <c r="U108" s="110" t="s">
        <v>18</v>
      </c>
      <c r="V108" s="110">
        <f>IFERROR(MATCH(U108,'CostModel Coef'!$C$9:$C$13,0),0)</f>
        <v>5</v>
      </c>
      <c r="W108" s="110"/>
      <c r="X108" s="82">
        <f>IF(V108&gt;0,INDEX('CostModel Coef'!$D$9:$D$13,V108)+INDEX('CostModel Coef'!$E$9:$E$13,V108)+INDEX('CostModel Coef'!$G$9:$G$13,V108)*D108,0)</f>
        <v>3296.0889999999999</v>
      </c>
      <c r="Y108" s="82">
        <f>IF(V108&gt;0,INDEX('CostModel Coef'!$J$9:$J$13,V108),0)</f>
        <v>298.71600000000001</v>
      </c>
      <c r="Z108" s="112">
        <f>IF(V108&gt;0,INDEX('CostModel Coef'!$M$9:$M$13,V108),0)</f>
        <v>0.2</v>
      </c>
      <c r="AA108" s="110"/>
      <c r="AB108" s="110"/>
      <c r="AC108" s="42">
        <f t="shared" si="4"/>
        <v>3955.3067999999998</v>
      </c>
      <c r="AD108" s="42">
        <f t="shared" si="5"/>
        <v>358.45920000000001</v>
      </c>
      <c r="AE108" s="9">
        <f>IF(V108&gt;0,INDEX('CostModel Coef'!$K$9:$K$13,V108),0)</f>
        <v>2</v>
      </c>
      <c r="AF108" s="9">
        <f>IF(V108&gt;0,INDEX('CostModel Coef'!$L$9:$L$13,V108),0)</f>
        <v>5</v>
      </c>
    </row>
    <row r="109" spans="1:32">
      <c r="A109" s="110" t="s">
        <v>345</v>
      </c>
      <c r="B109" s="110" t="s">
        <v>156</v>
      </c>
      <c r="C109" s="110" t="s">
        <v>116</v>
      </c>
      <c r="D109" s="110">
        <v>10</v>
      </c>
      <c r="E109" s="110">
        <v>8.5210000000000008</v>
      </c>
      <c r="F109" s="110">
        <v>7.1</v>
      </c>
      <c r="G109" s="110">
        <v>3.01</v>
      </c>
      <c r="H109" s="110">
        <v>18</v>
      </c>
      <c r="I109" s="110">
        <v>65</v>
      </c>
      <c r="J109" s="110" t="s">
        <v>157</v>
      </c>
      <c r="K109" s="110">
        <v>0.74399999999999999</v>
      </c>
      <c r="L109" s="110">
        <v>0.34449999999999997</v>
      </c>
      <c r="M109" s="110">
        <v>385.2</v>
      </c>
      <c r="N109" s="110">
        <v>0.36499999999999999</v>
      </c>
      <c r="O109" s="110" t="s">
        <v>158</v>
      </c>
      <c r="P109" s="110">
        <v>0</v>
      </c>
      <c r="Q109" s="110">
        <v>100</v>
      </c>
      <c r="R109" s="110" t="s">
        <v>346</v>
      </c>
      <c r="S109" s="80" t="s">
        <v>160</v>
      </c>
      <c r="T109" s="110"/>
      <c r="U109" s="110" t="s">
        <v>161</v>
      </c>
      <c r="V109" s="110">
        <f>IFERROR(MATCH(U109,'CostModel Coef'!$C$9:$C$13,0),0)</f>
        <v>0</v>
      </c>
      <c r="W109" s="110"/>
      <c r="X109" s="82">
        <f>IF(V109&gt;0,INDEX('CostModel Coef'!$D$9:$D$13,V109)+INDEX('CostModel Coef'!$E$9:$E$13,V109)+INDEX('CostModel Coef'!$G$9:$G$13,V109)*D109,0)</f>
        <v>0</v>
      </c>
      <c r="Y109" s="82">
        <f>IF(V109&gt;0,INDEX('CostModel Coef'!$J$9:$J$13,V109),0)</f>
        <v>0</v>
      </c>
      <c r="Z109" s="112">
        <f>IF(V109&gt;0,INDEX('CostModel Coef'!$M$9:$M$13,V109),0)</f>
        <v>0</v>
      </c>
      <c r="AA109" s="110"/>
      <c r="AB109" s="110"/>
      <c r="AC109" s="42">
        <f t="shared" si="4"/>
        <v>0</v>
      </c>
      <c r="AD109" s="42">
        <f t="shared" si="5"/>
        <v>0</v>
      </c>
      <c r="AE109" s="9">
        <f>IF(V109&gt;0,INDEX('CostModel Coef'!$K$9:$K$13,V109),0)</f>
        <v>0</v>
      </c>
      <c r="AF109" s="9">
        <f>IF(V109&gt;0,INDEX('CostModel Coef'!$L$9:$L$13,V109),0)</f>
        <v>0</v>
      </c>
    </row>
    <row r="110" spans="1:32">
      <c r="A110" s="110" t="s">
        <v>347</v>
      </c>
      <c r="B110" s="110" t="s">
        <v>156</v>
      </c>
      <c r="C110" s="110" t="s">
        <v>116</v>
      </c>
      <c r="D110" s="110">
        <v>13</v>
      </c>
      <c r="E110" s="110">
        <v>11.08</v>
      </c>
      <c r="F110" s="110">
        <v>8.1999999999999993</v>
      </c>
      <c r="G110" s="110">
        <v>3.49</v>
      </c>
      <c r="H110" s="110">
        <v>18</v>
      </c>
      <c r="I110" s="110">
        <v>65</v>
      </c>
      <c r="J110" s="110" t="s">
        <v>157</v>
      </c>
      <c r="K110" s="110">
        <v>0.74399999999999999</v>
      </c>
      <c r="L110" s="110">
        <v>0.25819999999999999</v>
      </c>
      <c r="M110" s="110">
        <v>385.2</v>
      </c>
      <c r="N110" s="110">
        <v>0.34799999999999998</v>
      </c>
      <c r="O110" s="110" t="s">
        <v>158</v>
      </c>
      <c r="P110" s="110">
        <v>0</v>
      </c>
      <c r="Q110" s="110">
        <v>100</v>
      </c>
      <c r="R110" s="110" t="s">
        <v>348</v>
      </c>
      <c r="S110" s="80" t="s">
        <v>160</v>
      </c>
      <c r="T110" s="110"/>
      <c r="U110" s="110" t="s">
        <v>161</v>
      </c>
      <c r="V110" s="110">
        <f>IFERROR(MATCH(U110,'CostModel Coef'!$C$9:$C$13,0),0)</f>
        <v>0</v>
      </c>
      <c r="W110" s="110"/>
      <c r="X110" s="82">
        <f>IF(V110&gt;0,INDEX('CostModel Coef'!$D$9:$D$13,V110)+INDEX('CostModel Coef'!$E$9:$E$13,V110)+INDEX('CostModel Coef'!$G$9:$G$13,V110)*D110,0)</f>
        <v>0</v>
      </c>
      <c r="Y110" s="82">
        <f>IF(V110&gt;0,INDEX('CostModel Coef'!$J$9:$J$13,V110),0)</f>
        <v>0</v>
      </c>
      <c r="Z110" s="112">
        <f>IF(V110&gt;0,INDEX('CostModel Coef'!$M$9:$M$13,V110),0)</f>
        <v>0</v>
      </c>
      <c r="AA110" s="110"/>
      <c r="AB110" s="110"/>
      <c r="AC110" s="42">
        <f t="shared" si="4"/>
        <v>0</v>
      </c>
      <c r="AD110" s="42">
        <f t="shared" si="5"/>
        <v>0</v>
      </c>
      <c r="AE110" s="9">
        <f>IF(V110&gt;0,INDEX('CostModel Coef'!$K$9:$K$13,V110),0)</f>
        <v>0</v>
      </c>
      <c r="AF110" s="9">
        <f>IF(V110&gt;0,INDEX('CostModel Coef'!$L$9:$L$13,V110),0)</f>
        <v>0</v>
      </c>
    </row>
    <row r="111" spans="1:32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82"/>
      <c r="Y111" s="82"/>
      <c r="Z111" s="112"/>
      <c r="AA111" s="110"/>
      <c r="AB111" s="110"/>
      <c r="AC111" s="42"/>
      <c r="AD111" s="42"/>
      <c r="AE111" s="9"/>
      <c r="AF111" s="9"/>
    </row>
    <row r="112" spans="1:32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82"/>
      <c r="Y112" s="82"/>
      <c r="Z112" s="112"/>
      <c r="AA112" s="110"/>
      <c r="AB112" s="110"/>
      <c r="AC112" s="42"/>
      <c r="AD112" s="42"/>
      <c r="AE112" s="9"/>
      <c r="AF112" s="9"/>
    </row>
    <row r="113" spans="1:32" ht="15.75" thickBot="1">
      <c r="A113" s="12" t="s">
        <v>134</v>
      </c>
      <c r="B113" s="12" t="s">
        <v>135</v>
      </c>
      <c r="C113" s="12" t="s">
        <v>101</v>
      </c>
      <c r="D113" s="12" t="s">
        <v>115</v>
      </c>
      <c r="E113" s="12" t="s">
        <v>117</v>
      </c>
      <c r="F113" s="12" t="s">
        <v>327</v>
      </c>
      <c r="G113" s="12" t="s">
        <v>328</v>
      </c>
      <c r="H113" s="12" t="s">
        <v>138</v>
      </c>
      <c r="I113" s="12" t="s">
        <v>139</v>
      </c>
      <c r="J113" s="12" t="s">
        <v>140</v>
      </c>
      <c r="K113" s="12" t="s">
        <v>141</v>
      </c>
      <c r="L113" s="12" t="s">
        <v>142</v>
      </c>
      <c r="M113" s="12" t="s">
        <v>143</v>
      </c>
      <c r="N113" s="12" t="s">
        <v>144</v>
      </c>
      <c r="O113" s="12" t="s">
        <v>145</v>
      </c>
      <c r="P113" s="12" t="s">
        <v>146</v>
      </c>
      <c r="Q113" s="12" t="s">
        <v>147</v>
      </c>
      <c r="R113" s="12" t="s">
        <v>148</v>
      </c>
      <c r="S113" s="110"/>
      <c r="T113" s="110"/>
      <c r="U113" s="110"/>
      <c r="V113" s="110"/>
      <c r="W113" s="110"/>
      <c r="X113" s="82"/>
      <c r="Y113" s="82"/>
      <c r="Z113" s="112"/>
      <c r="AA113" s="110"/>
      <c r="AB113" s="110"/>
      <c r="AC113" s="42"/>
      <c r="AD113" s="42"/>
      <c r="AE113" s="9"/>
      <c r="AF113" s="9"/>
    </row>
    <row r="114" spans="1:32">
      <c r="A114" s="110" t="s">
        <v>349</v>
      </c>
      <c r="B114" s="110" t="s">
        <v>156</v>
      </c>
      <c r="C114" s="110" t="s">
        <v>116</v>
      </c>
      <c r="D114" s="110">
        <v>14</v>
      </c>
      <c r="E114" s="110">
        <v>11.11</v>
      </c>
      <c r="F114" s="110">
        <v>8.1999999999999993</v>
      </c>
      <c r="G114" s="110">
        <v>3.25</v>
      </c>
      <c r="H114" s="110">
        <v>55</v>
      </c>
      <c r="I114" s="110">
        <v>65</v>
      </c>
      <c r="J114" s="110" t="s">
        <v>157</v>
      </c>
      <c r="K114" s="110">
        <v>0.71699999999999997</v>
      </c>
      <c r="L114" s="110">
        <v>0.27050000000000002</v>
      </c>
      <c r="M114" s="110">
        <v>335.4</v>
      </c>
      <c r="N114" s="110">
        <v>0.29399999999999998</v>
      </c>
      <c r="O114" s="110">
        <v>0</v>
      </c>
      <c r="P114" s="110">
        <v>100</v>
      </c>
      <c r="Q114" s="110" t="s">
        <v>165</v>
      </c>
      <c r="R114" s="110" t="s">
        <v>350</v>
      </c>
      <c r="S114" s="80" t="s">
        <v>160</v>
      </c>
      <c r="T114" s="110"/>
      <c r="U114" s="110" t="s">
        <v>10</v>
      </c>
      <c r="V114" s="110">
        <f>IFERROR(MATCH(U114,'CostModel Coef'!$C$9:$C$13,0),0)</f>
        <v>1</v>
      </c>
      <c r="W114" s="110"/>
      <c r="X114" s="82">
        <f>IF(V114&gt;0,INDEX('CostModel Coef'!$D$9:$D$13,V114)+INDEX('CostModel Coef'!$E$9:$E$13,V114)+INDEX('CostModel Coef'!$G$9:$G$13,V114)*D114,0)</f>
        <v>457.70700000000033</v>
      </c>
      <c r="Y114" s="82">
        <f>IF(V114&gt;0,INDEX('CostModel Coef'!$J$9:$J$13,V114),0)</f>
        <v>495.46800000000002</v>
      </c>
      <c r="Z114" s="112">
        <f>IF(V114&gt;0,INDEX('CostModel Coef'!$M$9:$M$13,V114),0)</f>
        <v>0.2</v>
      </c>
      <c r="AA114" s="110"/>
      <c r="AB114" s="110"/>
      <c r="AC114" s="42">
        <f t="shared" ref="AC114:AC132" si="6">+X114*(1+Z114)</f>
        <v>549.2484000000004</v>
      </c>
      <c r="AD114" s="42">
        <f t="shared" ref="AD114:AD132" si="7">+Y114*(1+Z114)</f>
        <v>594.5616</v>
      </c>
      <c r="AE114" s="9">
        <f>IF(V114&gt;0,INDEX('CostModel Coef'!$K$9:$K$13,V114),0)</f>
        <v>1.45</v>
      </c>
      <c r="AF114" s="9">
        <f>IF(V114&gt;0,INDEX('CostModel Coef'!$L$9:$L$13,V114),0)</f>
        <v>4.916666666666667</v>
      </c>
    </row>
    <row r="115" spans="1:32">
      <c r="A115" s="110" t="s">
        <v>351</v>
      </c>
      <c r="B115" s="110" t="s">
        <v>156</v>
      </c>
      <c r="C115" s="110" t="s">
        <v>116</v>
      </c>
      <c r="D115" s="110">
        <v>15</v>
      </c>
      <c r="E115" s="110">
        <v>11.91</v>
      </c>
      <c r="F115" s="110">
        <v>8.6999999999999993</v>
      </c>
      <c r="G115" s="110">
        <v>3.44</v>
      </c>
      <c r="H115" s="110">
        <v>55</v>
      </c>
      <c r="I115" s="110">
        <v>65</v>
      </c>
      <c r="J115" s="110" t="s">
        <v>157</v>
      </c>
      <c r="K115" s="110">
        <v>0.71699999999999997</v>
      </c>
      <c r="L115" s="110">
        <v>0.25590000000000002</v>
      </c>
      <c r="M115" s="110">
        <v>335.4</v>
      </c>
      <c r="N115" s="110">
        <v>0.251</v>
      </c>
      <c r="O115" s="110">
        <v>0</v>
      </c>
      <c r="P115" s="110">
        <v>100</v>
      </c>
      <c r="Q115" s="110" t="s">
        <v>165</v>
      </c>
      <c r="R115" s="110" t="s">
        <v>352</v>
      </c>
      <c r="S115" s="80" t="s">
        <v>160</v>
      </c>
      <c r="T115" s="110"/>
      <c r="U115" s="110" t="s">
        <v>10</v>
      </c>
      <c r="V115" s="110">
        <f>IFERROR(MATCH(U115,'CostModel Coef'!$C$9:$C$13,0),0)</f>
        <v>1</v>
      </c>
      <c r="W115" s="110"/>
      <c r="X115" s="82">
        <f>IF(V115&gt;0,INDEX('CostModel Coef'!$D$9:$D$13,V115)+INDEX('CostModel Coef'!$E$9:$E$13,V115)+INDEX('CostModel Coef'!$G$9:$G$13,V115)*D115,0)</f>
        <v>914.61700000000019</v>
      </c>
      <c r="Y115" s="82">
        <f>IF(V115&gt;0,INDEX('CostModel Coef'!$J$9:$J$13,V115),0)</f>
        <v>495.46800000000002</v>
      </c>
      <c r="Z115" s="112">
        <f>IF(V115&gt;0,INDEX('CostModel Coef'!$M$9:$M$13,V115),0)</f>
        <v>0.2</v>
      </c>
      <c r="AA115" s="110"/>
      <c r="AB115" s="110"/>
      <c r="AC115" s="42">
        <f t="shared" si="6"/>
        <v>1097.5404000000001</v>
      </c>
      <c r="AD115" s="42">
        <f t="shared" si="7"/>
        <v>594.5616</v>
      </c>
      <c r="AE115" s="9">
        <f>IF(V115&gt;0,INDEX('CostModel Coef'!$K$9:$K$13,V115),0)</f>
        <v>1.45</v>
      </c>
      <c r="AF115" s="9">
        <f>IF(V115&gt;0,INDEX('CostModel Coef'!$L$9:$L$13,V115),0)</f>
        <v>4.916666666666667</v>
      </c>
    </row>
    <row r="116" spans="1:32">
      <c r="A116" s="110" t="s">
        <v>353</v>
      </c>
      <c r="B116" s="110" t="s">
        <v>156</v>
      </c>
      <c r="C116" s="110" t="s">
        <v>116</v>
      </c>
      <c r="D116" s="110">
        <v>16</v>
      </c>
      <c r="E116" s="110">
        <v>12.48</v>
      </c>
      <c r="F116" s="110">
        <v>9</v>
      </c>
      <c r="G116" s="110">
        <v>3.57</v>
      </c>
      <c r="H116" s="110">
        <v>55</v>
      </c>
      <c r="I116" s="110">
        <v>65</v>
      </c>
      <c r="J116" s="110" t="s">
        <v>157</v>
      </c>
      <c r="K116" s="110">
        <v>0.72399999999999998</v>
      </c>
      <c r="L116" s="110">
        <v>0.23810000000000001</v>
      </c>
      <c r="M116" s="110">
        <v>360</v>
      </c>
      <c r="N116" s="110">
        <v>0.27100000000000002</v>
      </c>
      <c r="O116" s="110">
        <v>0</v>
      </c>
      <c r="P116" s="110">
        <v>100</v>
      </c>
      <c r="Q116" s="110" t="s">
        <v>165</v>
      </c>
      <c r="R116" s="110" t="s">
        <v>354</v>
      </c>
      <c r="S116" s="80" t="s">
        <v>160</v>
      </c>
      <c r="T116" s="110"/>
      <c r="U116" s="110" t="s">
        <v>10</v>
      </c>
      <c r="V116" s="110">
        <f>IFERROR(MATCH(U116,'CostModel Coef'!$C$9:$C$13,0),0)</f>
        <v>1</v>
      </c>
      <c r="W116" s="110"/>
      <c r="X116" s="82">
        <f>IF(V116&gt;0,INDEX('CostModel Coef'!$D$9:$D$13,V116)+INDEX('CostModel Coef'!$E$9:$E$13,V116)+INDEX('CostModel Coef'!$G$9:$G$13,V116)*D116,0)</f>
        <v>1371.527</v>
      </c>
      <c r="Y116" s="82">
        <f>IF(V116&gt;0,INDEX('CostModel Coef'!$J$9:$J$13,V116),0)</f>
        <v>495.46800000000002</v>
      </c>
      <c r="Z116" s="112">
        <f>IF(V116&gt;0,INDEX('CostModel Coef'!$M$9:$M$13,V116),0)</f>
        <v>0.2</v>
      </c>
      <c r="AA116" s="110"/>
      <c r="AB116" s="110"/>
      <c r="AC116" s="42">
        <f t="shared" si="6"/>
        <v>1645.8324</v>
      </c>
      <c r="AD116" s="42">
        <f t="shared" si="7"/>
        <v>594.5616</v>
      </c>
      <c r="AE116" s="9">
        <f>IF(V116&gt;0,INDEX('CostModel Coef'!$K$9:$K$13,V116),0)</f>
        <v>1.45</v>
      </c>
      <c r="AF116" s="9">
        <f>IF(V116&gt;0,INDEX('CostModel Coef'!$L$9:$L$13,V116),0)</f>
        <v>4.916666666666667</v>
      </c>
    </row>
    <row r="117" spans="1:32">
      <c r="A117" s="110" t="s">
        <v>355</v>
      </c>
      <c r="B117" s="110" t="s">
        <v>156</v>
      </c>
      <c r="C117" s="110" t="s">
        <v>116</v>
      </c>
      <c r="D117" s="110">
        <v>17</v>
      </c>
      <c r="E117" s="110">
        <v>13.26</v>
      </c>
      <c r="F117" s="110">
        <v>9.4</v>
      </c>
      <c r="G117" s="110">
        <v>3.74</v>
      </c>
      <c r="H117" s="110">
        <v>55</v>
      </c>
      <c r="I117" s="110">
        <v>65</v>
      </c>
      <c r="J117" s="110" t="s">
        <v>157</v>
      </c>
      <c r="K117" s="110">
        <v>0.72399999999999998</v>
      </c>
      <c r="L117" s="110">
        <v>0.2225</v>
      </c>
      <c r="M117" s="110">
        <v>360</v>
      </c>
      <c r="N117" s="110">
        <v>0.27100000000000002</v>
      </c>
      <c r="O117" s="110">
        <v>0</v>
      </c>
      <c r="P117" s="110">
        <v>100</v>
      </c>
      <c r="Q117" s="110" t="s">
        <v>165</v>
      </c>
      <c r="R117" s="110" t="s">
        <v>356</v>
      </c>
      <c r="S117" s="80" t="s">
        <v>160</v>
      </c>
      <c r="T117" s="110"/>
      <c r="U117" s="110" t="s">
        <v>10</v>
      </c>
      <c r="V117" s="110">
        <f>IFERROR(MATCH(U117,'CostModel Coef'!$C$9:$C$13,0),0)</f>
        <v>1</v>
      </c>
      <c r="W117" s="110"/>
      <c r="X117" s="82">
        <f>IF(V117&gt;0,INDEX('CostModel Coef'!$D$9:$D$13,V117)+INDEX('CostModel Coef'!$E$9:$E$13,V117)+INDEX('CostModel Coef'!$G$9:$G$13,V117)*D117,0)</f>
        <v>1828.4369999999999</v>
      </c>
      <c r="Y117" s="82">
        <f>IF(V117&gt;0,INDEX('CostModel Coef'!$J$9:$J$13,V117),0)</f>
        <v>495.46800000000002</v>
      </c>
      <c r="Z117" s="112">
        <f>IF(V117&gt;0,INDEX('CostModel Coef'!$M$9:$M$13,V117),0)</f>
        <v>0.2</v>
      </c>
      <c r="AA117" s="110"/>
      <c r="AB117" s="110"/>
      <c r="AC117" s="42">
        <f t="shared" si="6"/>
        <v>2194.1243999999997</v>
      </c>
      <c r="AD117" s="42">
        <f t="shared" si="7"/>
        <v>594.5616</v>
      </c>
      <c r="AE117" s="9">
        <f>IF(V117&gt;0,INDEX('CostModel Coef'!$K$9:$K$13,V117),0)</f>
        <v>1.45</v>
      </c>
      <c r="AF117" s="9">
        <f>IF(V117&gt;0,INDEX('CostModel Coef'!$L$9:$L$13,V117),0)</f>
        <v>4.916666666666667</v>
      </c>
    </row>
    <row r="118" spans="1:32">
      <c r="A118" s="110" t="s">
        <v>357</v>
      </c>
      <c r="B118" s="110" t="s">
        <v>156</v>
      </c>
      <c r="C118" s="110" t="s">
        <v>116</v>
      </c>
      <c r="D118" s="110">
        <v>18</v>
      </c>
      <c r="E118" s="110">
        <v>14.04</v>
      </c>
      <c r="F118" s="110">
        <v>9.6999999999999993</v>
      </c>
      <c r="G118" s="110">
        <v>3.86</v>
      </c>
      <c r="H118" s="110">
        <v>55</v>
      </c>
      <c r="I118" s="110">
        <v>65</v>
      </c>
      <c r="J118" s="110" t="s">
        <v>157</v>
      </c>
      <c r="K118" s="110">
        <v>0.72399999999999998</v>
      </c>
      <c r="L118" s="110">
        <v>0.20860000000000001</v>
      </c>
      <c r="M118" s="110">
        <v>360</v>
      </c>
      <c r="N118" s="110">
        <v>0.27100000000000002</v>
      </c>
      <c r="O118" s="110">
        <v>0</v>
      </c>
      <c r="P118" s="110">
        <v>100</v>
      </c>
      <c r="Q118" s="110" t="s">
        <v>165</v>
      </c>
      <c r="R118" s="110" t="s">
        <v>358</v>
      </c>
      <c r="S118" s="80" t="s">
        <v>160</v>
      </c>
      <c r="T118" s="110"/>
      <c r="U118" s="110" t="s">
        <v>10</v>
      </c>
      <c r="V118" s="110">
        <f>IFERROR(MATCH(U118,'CostModel Coef'!$C$9:$C$13,0),0)</f>
        <v>1</v>
      </c>
      <c r="W118" s="110"/>
      <c r="X118" s="82">
        <f>IF(V118&gt;0,INDEX('CostModel Coef'!$D$9:$D$13,V118)+INDEX('CostModel Coef'!$E$9:$E$13,V118)+INDEX('CostModel Coef'!$G$9:$G$13,V118)*D118,0)</f>
        <v>2285.3470000000007</v>
      </c>
      <c r="Y118" s="82">
        <f>IF(V118&gt;0,INDEX('CostModel Coef'!$J$9:$J$13,V118),0)</f>
        <v>495.46800000000002</v>
      </c>
      <c r="Z118" s="112">
        <f>IF(V118&gt;0,INDEX('CostModel Coef'!$M$9:$M$13,V118),0)</f>
        <v>0.2</v>
      </c>
      <c r="AA118" s="110"/>
      <c r="AB118" s="110"/>
      <c r="AC118" s="42">
        <f t="shared" si="6"/>
        <v>2742.4164000000005</v>
      </c>
      <c r="AD118" s="42">
        <f t="shared" si="7"/>
        <v>594.5616</v>
      </c>
      <c r="AE118" s="9">
        <f>IF(V118&gt;0,INDEX('CostModel Coef'!$K$9:$K$13,V118),0)</f>
        <v>1.45</v>
      </c>
      <c r="AF118" s="9">
        <f>IF(V118&gt;0,INDEX('CostModel Coef'!$L$9:$L$13,V118),0)</f>
        <v>4.916666666666667</v>
      </c>
    </row>
    <row r="119" spans="1:32">
      <c r="A119" s="110" t="s">
        <v>359</v>
      </c>
      <c r="B119" s="110" t="s">
        <v>156</v>
      </c>
      <c r="C119" s="110" t="s">
        <v>116</v>
      </c>
      <c r="D119" s="110">
        <v>14</v>
      </c>
      <c r="E119" s="110">
        <v>11.93</v>
      </c>
      <c r="F119" s="110">
        <v>8.1999999999999993</v>
      </c>
      <c r="G119" s="110">
        <v>3.48</v>
      </c>
      <c r="H119" s="110">
        <v>18</v>
      </c>
      <c r="I119" s="110">
        <v>55</v>
      </c>
      <c r="J119" s="110" t="s">
        <v>157</v>
      </c>
      <c r="K119" s="110">
        <v>0.74399999999999999</v>
      </c>
      <c r="L119" s="110">
        <v>0.2447</v>
      </c>
      <c r="M119" s="110">
        <v>385.2</v>
      </c>
      <c r="N119" s="110">
        <v>0.29399999999999998</v>
      </c>
      <c r="O119" s="110">
        <v>0</v>
      </c>
      <c r="P119" s="110">
        <v>100</v>
      </c>
      <c r="Q119" s="110" t="s">
        <v>158</v>
      </c>
      <c r="R119" s="110" t="s">
        <v>360</v>
      </c>
      <c r="S119" s="80" t="s">
        <v>160</v>
      </c>
      <c r="T119" s="110"/>
      <c r="U119" s="110" t="s">
        <v>10</v>
      </c>
      <c r="V119" s="110">
        <f>IFERROR(MATCH(U119,'CostModel Coef'!$C$9:$C$13,0),0)</f>
        <v>1</v>
      </c>
      <c r="W119" s="110"/>
      <c r="X119" s="82">
        <f>IF(V119&gt;0,INDEX('CostModel Coef'!$D$9:$D$13,V119)+INDEX('CostModel Coef'!$E$9:$E$13,V119)+INDEX('CostModel Coef'!$G$9:$G$13,V119)*D119,0)</f>
        <v>457.70700000000033</v>
      </c>
      <c r="Y119" s="82">
        <f>IF(V119&gt;0,INDEX('CostModel Coef'!$J$9:$J$13,V119),0)</f>
        <v>495.46800000000002</v>
      </c>
      <c r="Z119" s="112">
        <f>IF(V119&gt;0,INDEX('CostModel Coef'!$M$9:$M$13,V119),0)</f>
        <v>0.2</v>
      </c>
      <c r="AA119" s="110"/>
      <c r="AB119" s="110"/>
      <c r="AC119" s="42">
        <f t="shared" si="6"/>
        <v>549.2484000000004</v>
      </c>
      <c r="AD119" s="42">
        <f t="shared" si="7"/>
        <v>594.5616</v>
      </c>
      <c r="AE119" s="9">
        <f>IF(V119&gt;0,INDEX('CostModel Coef'!$K$9:$K$13,V119),0)</f>
        <v>1.45</v>
      </c>
      <c r="AF119" s="9">
        <f>IF(V119&gt;0,INDEX('CostModel Coef'!$L$9:$L$13,V119),0)</f>
        <v>4.916666666666667</v>
      </c>
    </row>
    <row r="120" spans="1:32">
      <c r="A120" s="110" t="s">
        <v>361</v>
      </c>
      <c r="B120" s="110" t="s">
        <v>156</v>
      </c>
      <c r="C120" s="110" t="s">
        <v>116</v>
      </c>
      <c r="D120" s="110">
        <v>15</v>
      </c>
      <c r="E120" s="110">
        <v>12.78</v>
      </c>
      <c r="F120" s="110">
        <v>8.6999999999999993</v>
      </c>
      <c r="G120" s="110">
        <v>3.68</v>
      </c>
      <c r="H120" s="110">
        <v>18</v>
      </c>
      <c r="I120" s="110">
        <v>65</v>
      </c>
      <c r="J120" s="110" t="s">
        <v>157</v>
      </c>
      <c r="K120" s="110">
        <v>0.74399999999999999</v>
      </c>
      <c r="L120" s="110">
        <v>0.23219999999999999</v>
      </c>
      <c r="M120" s="110">
        <v>385.2</v>
      </c>
      <c r="N120" s="110">
        <v>0.251</v>
      </c>
      <c r="O120" s="110">
        <v>0</v>
      </c>
      <c r="P120" s="110">
        <v>100</v>
      </c>
      <c r="Q120" s="110" t="s">
        <v>158</v>
      </c>
      <c r="R120" s="110" t="s">
        <v>362</v>
      </c>
      <c r="S120" s="80" t="s">
        <v>160</v>
      </c>
      <c r="T120" s="110"/>
      <c r="U120" s="110" t="s">
        <v>10</v>
      </c>
      <c r="V120" s="110">
        <f>IFERROR(MATCH(U120,'CostModel Coef'!$C$9:$C$13,0),0)</f>
        <v>1</v>
      </c>
      <c r="W120" s="110"/>
      <c r="X120" s="82">
        <f>IF(V120&gt;0,INDEX('CostModel Coef'!$D$9:$D$13,V120)+INDEX('CostModel Coef'!$E$9:$E$13,V120)+INDEX('CostModel Coef'!$G$9:$G$13,V120)*D120,0)</f>
        <v>914.61700000000019</v>
      </c>
      <c r="Y120" s="82">
        <f>IF(V120&gt;0,INDEX('CostModel Coef'!$J$9:$J$13,V120),0)</f>
        <v>495.46800000000002</v>
      </c>
      <c r="Z120" s="112">
        <f>IF(V120&gt;0,INDEX('CostModel Coef'!$M$9:$M$13,V120),0)</f>
        <v>0.2</v>
      </c>
      <c r="AA120" s="110"/>
      <c r="AB120" s="110"/>
      <c r="AC120" s="42">
        <f t="shared" si="6"/>
        <v>1097.5404000000001</v>
      </c>
      <c r="AD120" s="42">
        <f t="shared" si="7"/>
        <v>594.5616</v>
      </c>
      <c r="AE120" s="9">
        <f>IF(V120&gt;0,INDEX('CostModel Coef'!$K$9:$K$13,V120),0)</f>
        <v>1.45</v>
      </c>
      <c r="AF120" s="9">
        <f>IF(V120&gt;0,INDEX('CostModel Coef'!$L$9:$L$13,V120),0)</f>
        <v>4.916666666666667</v>
      </c>
    </row>
    <row r="121" spans="1:32">
      <c r="A121" s="110" t="s">
        <v>363</v>
      </c>
      <c r="B121" s="110" t="s">
        <v>156</v>
      </c>
      <c r="C121" s="110" t="s">
        <v>116</v>
      </c>
      <c r="D121" s="110">
        <v>16</v>
      </c>
      <c r="E121" s="110">
        <v>12.48</v>
      </c>
      <c r="F121" s="110">
        <v>9</v>
      </c>
      <c r="G121" s="110">
        <v>3.57</v>
      </c>
      <c r="H121" s="110">
        <v>18</v>
      </c>
      <c r="I121" s="110">
        <v>65</v>
      </c>
      <c r="J121" s="110" t="s">
        <v>157</v>
      </c>
      <c r="K121" s="110">
        <v>0.72399999999999998</v>
      </c>
      <c r="L121" s="110">
        <v>0.23810000000000001</v>
      </c>
      <c r="M121" s="110">
        <v>360</v>
      </c>
      <c r="N121" s="110">
        <v>0.27100000000000002</v>
      </c>
      <c r="O121" s="110">
        <v>0</v>
      </c>
      <c r="P121" s="110">
        <v>100</v>
      </c>
      <c r="Q121" s="110" t="s">
        <v>165</v>
      </c>
      <c r="R121" s="110" t="s">
        <v>364</v>
      </c>
      <c r="S121" s="80" t="s">
        <v>160</v>
      </c>
      <c r="T121" s="110"/>
      <c r="U121" s="110" t="s">
        <v>10</v>
      </c>
      <c r="V121" s="110">
        <f>IFERROR(MATCH(U121,'CostModel Coef'!$C$9:$C$13,0),0)</f>
        <v>1</v>
      </c>
      <c r="W121" s="110"/>
      <c r="X121" s="82">
        <f>IF(V121&gt;0,INDEX('CostModel Coef'!$D$9:$D$13,V121)+INDEX('CostModel Coef'!$E$9:$E$13,V121)+INDEX('CostModel Coef'!$G$9:$G$13,V121)*D121,0)</f>
        <v>1371.527</v>
      </c>
      <c r="Y121" s="82">
        <f>IF(V121&gt;0,INDEX('CostModel Coef'!$J$9:$J$13,V121),0)</f>
        <v>495.46800000000002</v>
      </c>
      <c r="Z121" s="112">
        <f>IF(V121&gt;0,INDEX('CostModel Coef'!$M$9:$M$13,V121),0)</f>
        <v>0.2</v>
      </c>
      <c r="AA121" s="110"/>
      <c r="AB121" s="110"/>
      <c r="AC121" s="42">
        <f t="shared" si="6"/>
        <v>1645.8324</v>
      </c>
      <c r="AD121" s="42">
        <f t="shared" si="7"/>
        <v>594.5616</v>
      </c>
      <c r="AE121" s="9">
        <f>IF(V121&gt;0,INDEX('CostModel Coef'!$K$9:$K$13,V121),0)</f>
        <v>1.45</v>
      </c>
      <c r="AF121" s="9">
        <f>IF(V121&gt;0,INDEX('CostModel Coef'!$L$9:$L$13,V121),0)</f>
        <v>4.916666666666667</v>
      </c>
    </row>
    <row r="122" spans="1:32">
      <c r="A122" s="110" t="s">
        <v>365</v>
      </c>
      <c r="B122" s="110" t="s">
        <v>156</v>
      </c>
      <c r="C122" s="110" t="s">
        <v>116</v>
      </c>
      <c r="D122" s="110">
        <v>17</v>
      </c>
      <c r="E122" s="110">
        <v>13.26</v>
      </c>
      <c r="F122" s="110">
        <v>9.4</v>
      </c>
      <c r="G122" s="110">
        <v>3.74</v>
      </c>
      <c r="H122" s="110">
        <v>18</v>
      </c>
      <c r="I122" s="110">
        <v>65</v>
      </c>
      <c r="J122" s="110" t="s">
        <v>157</v>
      </c>
      <c r="K122" s="110">
        <v>0.72399999999999998</v>
      </c>
      <c r="L122" s="110">
        <v>0.2225</v>
      </c>
      <c r="M122" s="110">
        <v>360</v>
      </c>
      <c r="N122" s="110">
        <v>0.27100000000000002</v>
      </c>
      <c r="O122" s="110">
        <v>0</v>
      </c>
      <c r="P122" s="110">
        <v>100</v>
      </c>
      <c r="Q122" s="110" t="s">
        <v>165</v>
      </c>
      <c r="R122" s="110" t="s">
        <v>366</v>
      </c>
      <c r="S122" s="80" t="s">
        <v>160</v>
      </c>
      <c r="T122" s="110"/>
      <c r="U122" s="110" t="s">
        <v>10</v>
      </c>
      <c r="V122" s="110">
        <f>IFERROR(MATCH(U122,'CostModel Coef'!$C$9:$C$13,0),0)</f>
        <v>1</v>
      </c>
      <c r="W122" s="110"/>
      <c r="X122" s="82">
        <f>IF(V122&gt;0,INDEX('CostModel Coef'!$D$9:$D$13,V122)+INDEX('CostModel Coef'!$E$9:$E$13,V122)+INDEX('CostModel Coef'!$G$9:$G$13,V122)*D122,0)</f>
        <v>1828.4369999999999</v>
      </c>
      <c r="Y122" s="82">
        <f>IF(V122&gt;0,INDEX('CostModel Coef'!$J$9:$J$13,V122),0)</f>
        <v>495.46800000000002</v>
      </c>
      <c r="Z122" s="112">
        <f>IF(V122&gt;0,INDEX('CostModel Coef'!$M$9:$M$13,V122),0)</f>
        <v>0.2</v>
      </c>
      <c r="AA122" s="110"/>
      <c r="AB122" s="110"/>
      <c r="AC122" s="42">
        <f t="shared" si="6"/>
        <v>2194.1243999999997</v>
      </c>
      <c r="AD122" s="42">
        <f t="shared" si="7"/>
        <v>594.5616</v>
      </c>
      <c r="AE122" s="9">
        <f>IF(V122&gt;0,INDEX('CostModel Coef'!$K$9:$K$13,V122),0)</f>
        <v>1.45</v>
      </c>
      <c r="AF122" s="9">
        <f>IF(V122&gt;0,INDEX('CostModel Coef'!$L$9:$L$13,V122),0)</f>
        <v>4.916666666666667</v>
      </c>
    </row>
    <row r="123" spans="1:32">
      <c r="A123" s="110" t="s">
        <v>367</v>
      </c>
      <c r="B123" s="110" t="s">
        <v>156</v>
      </c>
      <c r="C123" s="110" t="s">
        <v>116</v>
      </c>
      <c r="D123" s="110">
        <v>18</v>
      </c>
      <c r="E123" s="110">
        <v>14.04</v>
      </c>
      <c r="F123" s="110">
        <v>9.6999999999999993</v>
      </c>
      <c r="G123" s="110">
        <v>3.86</v>
      </c>
      <c r="H123" s="110">
        <v>18</v>
      </c>
      <c r="I123" s="110">
        <v>65</v>
      </c>
      <c r="J123" s="110" t="s">
        <v>157</v>
      </c>
      <c r="K123" s="110">
        <v>0.72399999999999998</v>
      </c>
      <c r="L123" s="110">
        <v>0.20860000000000001</v>
      </c>
      <c r="M123" s="110">
        <v>360</v>
      </c>
      <c r="N123" s="110">
        <v>0.27100000000000002</v>
      </c>
      <c r="O123" s="110">
        <v>0</v>
      </c>
      <c r="P123" s="110">
        <v>100</v>
      </c>
      <c r="Q123" s="110" t="s">
        <v>165</v>
      </c>
      <c r="R123" s="110" t="s">
        <v>368</v>
      </c>
      <c r="S123" s="80" t="s">
        <v>160</v>
      </c>
      <c r="T123" s="110"/>
      <c r="U123" s="110" t="s">
        <v>10</v>
      </c>
      <c r="V123" s="110">
        <f>IFERROR(MATCH(U123,'CostModel Coef'!$C$9:$C$13,0),0)</f>
        <v>1</v>
      </c>
      <c r="W123" s="110"/>
      <c r="X123" s="82">
        <f>IF(V123&gt;0,INDEX('CostModel Coef'!$D$9:$D$13,V123)+INDEX('CostModel Coef'!$E$9:$E$13,V123)+INDEX('CostModel Coef'!$G$9:$G$13,V123)*D123,0)</f>
        <v>2285.3470000000007</v>
      </c>
      <c r="Y123" s="82">
        <f>IF(V123&gt;0,INDEX('CostModel Coef'!$J$9:$J$13,V123),0)</f>
        <v>495.46800000000002</v>
      </c>
      <c r="Z123" s="112">
        <f>IF(V123&gt;0,INDEX('CostModel Coef'!$M$9:$M$13,V123),0)</f>
        <v>0.2</v>
      </c>
      <c r="AA123" s="110"/>
      <c r="AB123" s="110"/>
      <c r="AC123" s="42">
        <f t="shared" si="6"/>
        <v>2742.4164000000005</v>
      </c>
      <c r="AD123" s="42">
        <f t="shared" si="7"/>
        <v>594.5616</v>
      </c>
      <c r="AE123" s="9">
        <f>IF(V123&gt;0,INDEX('CostModel Coef'!$K$9:$K$13,V123),0)</f>
        <v>1.45</v>
      </c>
      <c r="AF123" s="9">
        <f>IF(V123&gt;0,INDEX('CostModel Coef'!$L$9:$L$13,V123),0)</f>
        <v>4.916666666666667</v>
      </c>
    </row>
    <row r="124" spans="1:32">
      <c r="A124" s="110" t="s">
        <v>369</v>
      </c>
      <c r="B124" s="110" t="s">
        <v>156</v>
      </c>
      <c r="C124" s="110" t="s">
        <v>116</v>
      </c>
      <c r="D124" s="110">
        <v>10</v>
      </c>
      <c r="E124" s="110">
        <v>8.5210000000000008</v>
      </c>
      <c r="F124" s="110">
        <v>7.1</v>
      </c>
      <c r="G124" s="110">
        <v>3.01</v>
      </c>
      <c r="H124" s="110">
        <v>18</v>
      </c>
      <c r="I124" s="110">
        <v>65</v>
      </c>
      <c r="J124" s="110" t="s">
        <v>157</v>
      </c>
      <c r="K124" s="110">
        <v>0.74399999999999999</v>
      </c>
      <c r="L124" s="110">
        <v>0.34449999999999997</v>
      </c>
      <c r="M124" s="110">
        <v>385.2</v>
      </c>
      <c r="N124" s="110">
        <v>0.36499999999999999</v>
      </c>
      <c r="O124" s="110">
        <v>0</v>
      </c>
      <c r="P124" s="110">
        <v>100</v>
      </c>
      <c r="Q124" s="110" t="s">
        <v>158</v>
      </c>
      <c r="R124" s="110" t="s">
        <v>370</v>
      </c>
      <c r="S124" s="80" t="s">
        <v>160</v>
      </c>
      <c r="T124" s="110"/>
      <c r="U124" s="110" t="s">
        <v>161</v>
      </c>
      <c r="V124" s="110">
        <f>IFERROR(MATCH(U124,'CostModel Coef'!$C$9:$C$13,0),0)</f>
        <v>0</v>
      </c>
      <c r="W124" s="110"/>
      <c r="X124" s="82">
        <f>IF(V124&gt;0,INDEX('CostModel Coef'!$D$9:$D$13,V124)+INDEX('CostModel Coef'!$E$9:$E$13,V124)+INDEX('CostModel Coef'!$G$9:$G$13,V124)*D124,0)</f>
        <v>0</v>
      </c>
      <c r="Y124" s="82">
        <f>IF(V124&gt;0,INDEX('CostModel Coef'!$J$9:$J$13,V124),0)</f>
        <v>0</v>
      </c>
      <c r="Z124" s="112">
        <f>IF(V124&gt;0,INDEX('CostModel Coef'!$M$9:$M$13,V124),0)</f>
        <v>0</v>
      </c>
      <c r="AA124" s="110"/>
      <c r="AB124" s="110"/>
      <c r="AC124" s="42">
        <f t="shared" si="6"/>
        <v>0</v>
      </c>
      <c r="AD124" s="42">
        <f t="shared" si="7"/>
        <v>0</v>
      </c>
      <c r="AE124" s="9">
        <f>IF(V124&gt;0,INDEX('CostModel Coef'!$K$9:$K$13,V124),0)</f>
        <v>0</v>
      </c>
      <c r="AF124" s="9">
        <f>IF(V124&gt;0,INDEX('CostModel Coef'!$L$9:$L$13,V124),0)</f>
        <v>0</v>
      </c>
    </row>
    <row r="125" spans="1:32">
      <c r="A125" s="110" t="s">
        <v>371</v>
      </c>
      <c r="B125" s="110" t="s">
        <v>156</v>
      </c>
      <c r="C125" s="110" t="s">
        <v>116</v>
      </c>
      <c r="D125" s="110">
        <v>13</v>
      </c>
      <c r="E125" s="110">
        <v>11.08</v>
      </c>
      <c r="F125" s="110">
        <v>8.1999999999999993</v>
      </c>
      <c r="G125" s="110">
        <v>3.49</v>
      </c>
      <c r="H125" s="110">
        <v>18</v>
      </c>
      <c r="I125" s="110">
        <v>65</v>
      </c>
      <c r="J125" s="110" t="s">
        <v>157</v>
      </c>
      <c r="K125" s="110">
        <v>0.74399999999999999</v>
      </c>
      <c r="L125" s="110">
        <v>0.25819999999999999</v>
      </c>
      <c r="M125" s="110">
        <v>385.2</v>
      </c>
      <c r="N125" s="110">
        <v>0.34799999999999998</v>
      </c>
      <c r="O125" s="110">
        <v>0</v>
      </c>
      <c r="P125" s="110">
        <v>100</v>
      </c>
      <c r="Q125" s="110" t="s">
        <v>158</v>
      </c>
      <c r="R125" s="110" t="s">
        <v>372</v>
      </c>
      <c r="S125" s="80" t="s">
        <v>160</v>
      </c>
      <c r="T125" s="110"/>
      <c r="U125" s="110" t="s">
        <v>161</v>
      </c>
      <c r="V125" s="110">
        <f>IFERROR(MATCH(U125,'CostModel Coef'!$C$9:$C$13,0),0)</f>
        <v>0</v>
      </c>
      <c r="W125" s="110"/>
      <c r="X125" s="82">
        <f>IF(V125&gt;0,INDEX('CostModel Coef'!$D$9:$D$13,V125)+INDEX('CostModel Coef'!$E$9:$E$13,V125)+INDEX('CostModel Coef'!$G$9:$G$13,V125)*D125,0)</f>
        <v>0</v>
      </c>
      <c r="Y125" s="82">
        <f>IF(V125&gt;0,INDEX('CostModel Coef'!$J$9:$J$13,V125),0)</f>
        <v>0</v>
      </c>
      <c r="Z125" s="112">
        <f>IF(V125&gt;0,INDEX('CostModel Coef'!$M$9:$M$13,V125),0)</f>
        <v>0</v>
      </c>
      <c r="AA125" s="110"/>
      <c r="AB125" s="110"/>
      <c r="AC125" s="42">
        <f t="shared" si="6"/>
        <v>0</v>
      </c>
      <c r="AD125" s="42">
        <f t="shared" si="7"/>
        <v>0</v>
      </c>
      <c r="AE125" s="9">
        <f>IF(V125&gt;0,INDEX('CostModel Coef'!$K$9:$K$13,V125),0)</f>
        <v>0</v>
      </c>
      <c r="AF125" s="9">
        <f>IF(V125&gt;0,INDEX('CostModel Coef'!$L$9:$L$13,V125),0)</f>
        <v>0</v>
      </c>
    </row>
    <row r="126" spans="1:32">
      <c r="A126" s="110" t="s">
        <v>373</v>
      </c>
      <c r="B126" s="110" t="s">
        <v>156</v>
      </c>
      <c r="C126" s="110" t="s">
        <v>302</v>
      </c>
      <c r="D126" s="110">
        <v>10</v>
      </c>
      <c r="E126" s="110">
        <v>8.5210000000000008</v>
      </c>
      <c r="F126" s="110">
        <v>7.1</v>
      </c>
      <c r="G126" s="110">
        <v>3.01</v>
      </c>
      <c r="H126" s="110">
        <v>18</v>
      </c>
      <c r="I126" s="110">
        <v>65</v>
      </c>
      <c r="J126" s="110" t="s">
        <v>157</v>
      </c>
      <c r="K126" s="110">
        <v>0.74399999999999999</v>
      </c>
      <c r="L126" s="110">
        <v>0.34449999999999997</v>
      </c>
      <c r="M126" s="110">
        <v>385.2</v>
      </c>
      <c r="N126" s="110">
        <v>0.36499999999999999</v>
      </c>
      <c r="O126" s="110">
        <v>0</v>
      </c>
      <c r="P126" s="110">
        <v>100</v>
      </c>
      <c r="Q126" s="110" t="s">
        <v>158</v>
      </c>
      <c r="R126" s="110" t="s">
        <v>374</v>
      </c>
      <c r="S126" s="80" t="s">
        <v>160</v>
      </c>
      <c r="T126" s="110"/>
      <c r="U126" s="110" t="s">
        <v>161</v>
      </c>
      <c r="V126" s="110">
        <f>IFERROR(MATCH(U126,'CostModel Coef'!$C$9:$C$13,0),0)</f>
        <v>0</v>
      </c>
      <c r="W126" s="110"/>
      <c r="X126" s="82">
        <f>IF(V126&gt;0,INDEX('CostModel Coef'!$D$9:$D$13,V126)+INDEX('CostModel Coef'!$E$9:$E$13,V126)+INDEX('CostModel Coef'!$G$9:$G$13,V126)*D126,0)</f>
        <v>0</v>
      </c>
      <c r="Y126" s="82">
        <f>IF(V126&gt;0,INDEX('CostModel Coef'!$J$9:$J$13,V126),0)</f>
        <v>0</v>
      </c>
      <c r="Z126" s="112">
        <f>IF(V126&gt;0,INDEX('CostModel Coef'!$M$9:$M$13,V126),0)</f>
        <v>0</v>
      </c>
      <c r="AA126" s="110"/>
      <c r="AB126" s="110"/>
      <c r="AC126" s="42">
        <f t="shared" si="6"/>
        <v>0</v>
      </c>
      <c r="AD126" s="42">
        <f t="shared" si="7"/>
        <v>0</v>
      </c>
      <c r="AE126" s="9">
        <f>IF(V126&gt;0,INDEX('CostModel Coef'!$K$9:$K$13,V126),0)</f>
        <v>0</v>
      </c>
      <c r="AF126" s="9">
        <f>IF(V126&gt;0,INDEX('CostModel Coef'!$L$9:$L$13,V126),0)</f>
        <v>0</v>
      </c>
    </row>
    <row r="127" spans="1:32">
      <c r="A127" s="110" t="s">
        <v>375</v>
      </c>
      <c r="B127" s="110" t="s">
        <v>156</v>
      </c>
      <c r="C127" s="110" t="s">
        <v>302</v>
      </c>
      <c r="D127" s="110">
        <v>13</v>
      </c>
      <c r="E127" s="110">
        <v>11.08</v>
      </c>
      <c r="F127" s="110">
        <v>8.1999999999999993</v>
      </c>
      <c r="G127" s="110">
        <v>3.49</v>
      </c>
      <c r="H127" s="110">
        <v>18</v>
      </c>
      <c r="I127" s="110">
        <v>65</v>
      </c>
      <c r="J127" s="110" t="s">
        <v>157</v>
      </c>
      <c r="K127" s="110">
        <v>0.74399999999999999</v>
      </c>
      <c r="L127" s="110">
        <v>0.25819999999999999</v>
      </c>
      <c r="M127" s="110">
        <v>385.2</v>
      </c>
      <c r="N127" s="110">
        <v>0.34799999999999998</v>
      </c>
      <c r="O127" s="110">
        <v>0</v>
      </c>
      <c r="P127" s="110">
        <v>100</v>
      </c>
      <c r="Q127" s="110" t="s">
        <v>158</v>
      </c>
      <c r="R127" s="110" t="s">
        <v>376</v>
      </c>
      <c r="S127" s="80" t="s">
        <v>160</v>
      </c>
      <c r="T127" s="110"/>
      <c r="U127" s="110" t="s">
        <v>161</v>
      </c>
      <c r="V127" s="110">
        <f>IFERROR(MATCH(U127,'CostModel Coef'!$C$9:$C$13,0),0)</f>
        <v>0</v>
      </c>
      <c r="W127" s="110"/>
      <c r="X127" s="82">
        <f>IF(V127&gt;0,INDEX('CostModel Coef'!$D$9:$D$13,V127)+INDEX('CostModel Coef'!$E$9:$E$13,V127)+INDEX('CostModel Coef'!$G$9:$G$13,V127)*D127,0)</f>
        <v>0</v>
      </c>
      <c r="Y127" s="82">
        <f>IF(V127&gt;0,INDEX('CostModel Coef'!$J$9:$J$13,V127),0)</f>
        <v>0</v>
      </c>
      <c r="Z127" s="112">
        <f>IF(V127&gt;0,INDEX('CostModel Coef'!$M$9:$M$13,V127),0)</f>
        <v>0</v>
      </c>
      <c r="AA127" s="110"/>
      <c r="AB127" s="110"/>
      <c r="AC127" s="42">
        <f t="shared" si="6"/>
        <v>0</v>
      </c>
      <c r="AD127" s="42">
        <f t="shared" si="7"/>
        <v>0</v>
      </c>
      <c r="AE127" s="9">
        <f>IF(V127&gt;0,INDEX('CostModel Coef'!$K$9:$K$13,V127),0)</f>
        <v>0</v>
      </c>
      <c r="AF127" s="9">
        <f>IF(V127&gt;0,INDEX('CostModel Coef'!$L$9:$L$13,V127),0)</f>
        <v>0</v>
      </c>
    </row>
    <row r="128" spans="1:32">
      <c r="A128" s="110" t="s">
        <v>377</v>
      </c>
      <c r="B128" s="110" t="s">
        <v>156</v>
      </c>
      <c r="C128" s="110" t="s">
        <v>302</v>
      </c>
      <c r="D128" s="110">
        <v>14</v>
      </c>
      <c r="E128" s="110">
        <v>11.93</v>
      </c>
      <c r="F128" s="110">
        <v>8.1999999999999993</v>
      </c>
      <c r="G128" s="110">
        <v>3.48</v>
      </c>
      <c r="H128" s="110">
        <v>18</v>
      </c>
      <c r="I128" s="110">
        <v>65</v>
      </c>
      <c r="J128" s="110" t="s">
        <v>157</v>
      </c>
      <c r="K128" s="110">
        <v>0.74399999999999999</v>
      </c>
      <c r="L128" s="110">
        <v>0.2447</v>
      </c>
      <c r="M128" s="110">
        <v>385.2</v>
      </c>
      <c r="N128" s="110">
        <v>0.29399999999999998</v>
      </c>
      <c r="O128" s="110">
        <v>0</v>
      </c>
      <c r="P128" s="110">
        <v>100</v>
      </c>
      <c r="Q128" s="110" t="s">
        <v>158</v>
      </c>
      <c r="R128" s="110" t="s">
        <v>378</v>
      </c>
      <c r="S128" s="80" t="s">
        <v>160</v>
      </c>
      <c r="T128" s="110"/>
      <c r="U128" s="110" t="s">
        <v>10</v>
      </c>
      <c r="V128" s="110">
        <f>IFERROR(MATCH(U128,'CostModel Coef'!$C$9:$C$13,0),0)</f>
        <v>1</v>
      </c>
      <c r="W128" s="110"/>
      <c r="X128" s="82">
        <f>IF(V128&gt;0,INDEX('CostModel Coef'!$D$9:$D$13,V128)+INDEX('CostModel Coef'!$E$9:$E$13,V128)+INDEX('CostModel Coef'!$G$9:$G$13,V128)*D128,0)</f>
        <v>457.70700000000033</v>
      </c>
      <c r="Y128" s="82">
        <f>IF(V128&gt;0,INDEX('CostModel Coef'!$J$9:$J$13,V128),0)</f>
        <v>495.46800000000002</v>
      </c>
      <c r="Z128" s="112">
        <f>IF(V128&gt;0,INDEX('CostModel Coef'!$M$9:$M$13,V128),0)</f>
        <v>0.2</v>
      </c>
      <c r="AA128" s="110"/>
      <c r="AB128" s="110"/>
      <c r="AC128" s="42">
        <f t="shared" si="6"/>
        <v>549.2484000000004</v>
      </c>
      <c r="AD128" s="42">
        <f t="shared" si="7"/>
        <v>594.5616</v>
      </c>
      <c r="AE128" s="9">
        <f>IF(V128&gt;0,INDEX('CostModel Coef'!$K$9:$K$13,V128),0)</f>
        <v>1.45</v>
      </c>
      <c r="AF128" s="9">
        <f>IF(V128&gt;0,INDEX('CostModel Coef'!$L$9:$L$13,V128),0)</f>
        <v>4.916666666666667</v>
      </c>
    </row>
    <row r="129" spans="1:32">
      <c r="A129" s="110" t="s">
        <v>379</v>
      </c>
      <c r="B129" s="110" t="s">
        <v>156</v>
      </c>
      <c r="C129" s="110" t="s">
        <v>302</v>
      </c>
      <c r="D129" s="110">
        <v>15</v>
      </c>
      <c r="E129" s="110">
        <v>12.78</v>
      </c>
      <c r="F129" s="110">
        <v>8.6999999999999993</v>
      </c>
      <c r="G129" s="110">
        <v>3.68</v>
      </c>
      <c r="H129" s="110">
        <v>18</v>
      </c>
      <c r="I129" s="110">
        <v>65</v>
      </c>
      <c r="J129" s="110" t="s">
        <v>157</v>
      </c>
      <c r="K129" s="110">
        <v>0.74399999999999999</v>
      </c>
      <c r="L129" s="110">
        <v>0.23219999999999999</v>
      </c>
      <c r="M129" s="110">
        <v>385.2</v>
      </c>
      <c r="N129" s="110">
        <v>0.251</v>
      </c>
      <c r="O129" s="110">
        <v>0</v>
      </c>
      <c r="P129" s="110">
        <v>100</v>
      </c>
      <c r="Q129" s="110" t="s">
        <v>158</v>
      </c>
      <c r="R129" s="110" t="s">
        <v>380</v>
      </c>
      <c r="S129" s="80" t="s">
        <v>160</v>
      </c>
      <c r="T129" s="110"/>
      <c r="U129" s="110" t="s">
        <v>10</v>
      </c>
      <c r="V129" s="110">
        <f>IFERROR(MATCH(U129,'CostModel Coef'!$C$9:$C$13,0),0)</f>
        <v>1</v>
      </c>
      <c r="W129" s="110"/>
      <c r="X129" s="82">
        <f>IF(V129&gt;0,INDEX('CostModel Coef'!$D$9:$D$13,V129)+INDEX('CostModel Coef'!$E$9:$E$13,V129)+INDEX('CostModel Coef'!$G$9:$G$13,V129)*D129,0)</f>
        <v>914.61700000000019</v>
      </c>
      <c r="Y129" s="82">
        <f>IF(V129&gt;0,INDEX('CostModel Coef'!$J$9:$J$13,V129),0)</f>
        <v>495.46800000000002</v>
      </c>
      <c r="Z129" s="112">
        <f>IF(V129&gt;0,INDEX('CostModel Coef'!$M$9:$M$13,V129),0)</f>
        <v>0.2</v>
      </c>
      <c r="AA129" s="110"/>
      <c r="AB129" s="110"/>
      <c r="AC129" s="42">
        <f t="shared" si="6"/>
        <v>1097.5404000000001</v>
      </c>
      <c r="AD129" s="42">
        <f t="shared" si="7"/>
        <v>594.5616</v>
      </c>
      <c r="AE129" s="9">
        <f>IF(V129&gt;0,INDEX('CostModel Coef'!$K$9:$K$13,V129),0)</f>
        <v>1.45</v>
      </c>
      <c r="AF129" s="9">
        <f>IF(V129&gt;0,INDEX('CostModel Coef'!$L$9:$L$13,V129),0)</f>
        <v>4.916666666666667</v>
      </c>
    </row>
    <row r="130" spans="1:32">
      <c r="A130" s="110" t="s">
        <v>381</v>
      </c>
      <c r="B130" s="110" t="s">
        <v>156</v>
      </c>
      <c r="C130" s="110" t="s">
        <v>302</v>
      </c>
      <c r="D130" s="110">
        <v>16</v>
      </c>
      <c r="E130" s="110">
        <v>12.48</v>
      </c>
      <c r="F130" s="110">
        <v>9</v>
      </c>
      <c r="G130" s="110">
        <v>3.57</v>
      </c>
      <c r="H130" s="110">
        <v>18</v>
      </c>
      <c r="I130" s="110">
        <v>65</v>
      </c>
      <c r="J130" s="110" t="s">
        <v>157</v>
      </c>
      <c r="K130" s="110">
        <v>0.72399999999999998</v>
      </c>
      <c r="L130" s="110">
        <v>0.23810000000000001</v>
      </c>
      <c r="M130" s="110">
        <v>360</v>
      </c>
      <c r="N130" s="110">
        <v>0.27100000000000002</v>
      </c>
      <c r="O130" s="110">
        <v>0</v>
      </c>
      <c r="P130" s="110">
        <v>100</v>
      </c>
      <c r="Q130" s="110" t="s">
        <v>165</v>
      </c>
      <c r="R130" s="110" t="s">
        <v>382</v>
      </c>
      <c r="S130" s="80" t="s">
        <v>160</v>
      </c>
      <c r="T130" s="110"/>
      <c r="U130" s="110" t="s">
        <v>10</v>
      </c>
      <c r="V130" s="110">
        <f>IFERROR(MATCH(U130,'CostModel Coef'!$C$9:$C$13,0),0)</f>
        <v>1</v>
      </c>
      <c r="W130" s="110"/>
      <c r="X130" s="82">
        <f>IF(V130&gt;0,INDEX('CostModel Coef'!$D$9:$D$13,V130)+INDEX('CostModel Coef'!$E$9:$E$13,V130)+INDEX('CostModel Coef'!$G$9:$G$13,V130)*D130,0)</f>
        <v>1371.527</v>
      </c>
      <c r="Y130" s="82">
        <f>IF(V130&gt;0,INDEX('CostModel Coef'!$J$9:$J$13,V130),0)</f>
        <v>495.46800000000002</v>
      </c>
      <c r="Z130" s="112">
        <f>IF(V130&gt;0,INDEX('CostModel Coef'!$M$9:$M$13,V130),0)</f>
        <v>0.2</v>
      </c>
      <c r="AA130" s="110"/>
      <c r="AB130" s="110"/>
      <c r="AC130" s="42">
        <f t="shared" si="6"/>
        <v>1645.8324</v>
      </c>
      <c r="AD130" s="42">
        <f t="shared" si="7"/>
        <v>594.5616</v>
      </c>
      <c r="AE130" s="9">
        <f>IF(V130&gt;0,INDEX('CostModel Coef'!$K$9:$K$13,V130),0)</f>
        <v>1.45</v>
      </c>
      <c r="AF130" s="9">
        <f>IF(V130&gt;0,INDEX('CostModel Coef'!$L$9:$L$13,V130),0)</f>
        <v>4.916666666666667</v>
      </c>
    </row>
    <row r="131" spans="1:32">
      <c r="A131" s="110" t="s">
        <v>383</v>
      </c>
      <c r="B131" s="110" t="s">
        <v>156</v>
      </c>
      <c r="C131" s="110" t="s">
        <v>302</v>
      </c>
      <c r="D131" s="110">
        <v>17</v>
      </c>
      <c r="E131" s="110">
        <v>13.26</v>
      </c>
      <c r="F131" s="110">
        <v>9.4</v>
      </c>
      <c r="G131" s="110">
        <v>3.74</v>
      </c>
      <c r="H131" s="110">
        <v>18</v>
      </c>
      <c r="I131" s="110">
        <v>65</v>
      </c>
      <c r="J131" s="110" t="s">
        <v>157</v>
      </c>
      <c r="K131" s="110">
        <v>0.72399999999999998</v>
      </c>
      <c r="L131" s="110">
        <v>0.2225</v>
      </c>
      <c r="M131" s="110">
        <v>360</v>
      </c>
      <c r="N131" s="110">
        <v>0.27100000000000002</v>
      </c>
      <c r="O131" s="110">
        <v>0</v>
      </c>
      <c r="P131" s="110">
        <v>100</v>
      </c>
      <c r="Q131" s="110" t="s">
        <v>165</v>
      </c>
      <c r="R131" s="110" t="s">
        <v>384</v>
      </c>
      <c r="S131" s="80" t="s">
        <v>160</v>
      </c>
      <c r="T131" s="110"/>
      <c r="U131" s="110" t="s">
        <v>10</v>
      </c>
      <c r="V131" s="110">
        <f>IFERROR(MATCH(U131,'CostModel Coef'!$C$9:$C$13,0),0)</f>
        <v>1</v>
      </c>
      <c r="W131" s="110"/>
      <c r="X131" s="82">
        <f>IF(V131&gt;0,INDEX('CostModel Coef'!$D$9:$D$13,V131)+INDEX('CostModel Coef'!$E$9:$E$13,V131)+INDEX('CostModel Coef'!$G$9:$G$13,V131)*D131,0)</f>
        <v>1828.4369999999999</v>
      </c>
      <c r="Y131" s="82">
        <f>IF(V131&gt;0,INDEX('CostModel Coef'!$J$9:$J$13,V131),0)</f>
        <v>495.46800000000002</v>
      </c>
      <c r="Z131" s="112">
        <f>IF(V131&gt;0,INDEX('CostModel Coef'!$M$9:$M$13,V131),0)</f>
        <v>0.2</v>
      </c>
      <c r="AA131" s="110"/>
      <c r="AB131" s="110"/>
      <c r="AC131" s="42">
        <f t="shared" si="6"/>
        <v>2194.1243999999997</v>
      </c>
      <c r="AD131" s="42">
        <f t="shared" si="7"/>
        <v>594.5616</v>
      </c>
      <c r="AE131" s="9">
        <f>IF(V131&gt;0,INDEX('CostModel Coef'!$K$9:$K$13,V131),0)</f>
        <v>1.45</v>
      </c>
      <c r="AF131" s="9">
        <f>IF(V131&gt;0,INDEX('CostModel Coef'!$L$9:$L$13,V131),0)</f>
        <v>4.916666666666667</v>
      </c>
    </row>
    <row r="132" spans="1:32">
      <c r="A132" s="110" t="s">
        <v>385</v>
      </c>
      <c r="B132" s="110" t="s">
        <v>156</v>
      </c>
      <c r="C132" s="110" t="s">
        <v>302</v>
      </c>
      <c r="D132" s="110">
        <v>18</v>
      </c>
      <c r="E132" s="110">
        <v>14.04</v>
      </c>
      <c r="F132" s="110">
        <v>9.6999999999999993</v>
      </c>
      <c r="G132" s="110">
        <v>3.86</v>
      </c>
      <c r="H132" s="110">
        <v>18</v>
      </c>
      <c r="I132" s="110">
        <v>65</v>
      </c>
      <c r="J132" s="110" t="s">
        <v>157</v>
      </c>
      <c r="K132" s="110">
        <v>0.72399999999999998</v>
      </c>
      <c r="L132" s="110">
        <v>0.20860000000000001</v>
      </c>
      <c r="M132" s="110">
        <v>360</v>
      </c>
      <c r="N132" s="110">
        <v>0.27100000000000002</v>
      </c>
      <c r="O132" s="110">
        <v>0</v>
      </c>
      <c r="P132" s="110">
        <v>100</v>
      </c>
      <c r="Q132" s="110" t="s">
        <v>165</v>
      </c>
      <c r="R132" s="110" t="s">
        <v>386</v>
      </c>
      <c r="S132" s="80" t="s">
        <v>160</v>
      </c>
      <c r="T132" s="110"/>
      <c r="U132" s="110" t="s">
        <v>10</v>
      </c>
      <c r="V132" s="110">
        <f>IFERROR(MATCH(U132,'CostModel Coef'!$C$9:$C$13,0),0)</f>
        <v>1</v>
      </c>
      <c r="W132" s="110"/>
      <c r="X132" s="82">
        <f>IF(V132&gt;0,INDEX('CostModel Coef'!$D$9:$D$13,V132)+INDEX('CostModel Coef'!$E$9:$E$13,V132)+INDEX('CostModel Coef'!$G$9:$G$13,V132)*D132,0)</f>
        <v>2285.3470000000007</v>
      </c>
      <c r="Y132" s="82">
        <f>IF(V132&gt;0,INDEX('CostModel Coef'!$J$9:$J$13,V132),0)</f>
        <v>495.46800000000002</v>
      </c>
      <c r="Z132" s="112">
        <f>IF(V132&gt;0,INDEX('CostModel Coef'!$M$9:$M$13,V132),0)</f>
        <v>0.2</v>
      </c>
      <c r="AA132" s="110"/>
      <c r="AB132" s="110"/>
      <c r="AC132" s="42">
        <f t="shared" si="6"/>
        <v>2742.4164000000005</v>
      </c>
      <c r="AD132" s="42">
        <f t="shared" si="7"/>
        <v>594.5616</v>
      </c>
      <c r="AE132" s="9">
        <f>IF(V132&gt;0,INDEX('CostModel Coef'!$K$9:$K$13,V132),0)</f>
        <v>1.45</v>
      </c>
      <c r="AF132" s="9">
        <f>IF(V132&gt;0,INDEX('CostModel Coef'!$L$9:$L$13,V132),0)</f>
        <v>4.916666666666667</v>
      </c>
    </row>
  </sheetData>
  <mergeCells count="1">
    <mergeCell ref="X6:Y6"/>
  </mergeCells>
  <conditionalFormatting sqref="U8:U132">
    <cfRule type="cellIs" dxfId="0" priority="1" operator="equal">
      <formula>"out of scope"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7"/>
  <sheetViews>
    <sheetView workbookViewId="0">
      <pane ySplit="7" topLeftCell="A8" activePane="bottomLeft" state="frozen"/>
      <selection pane="bottomLeft" activeCell="A8" sqref="A8"/>
      <selection activeCell="AF10" sqref="AF10"/>
    </sheetView>
  </sheetViews>
  <sheetFormatPr defaultRowHeight="15"/>
  <cols>
    <col min="1" max="1" width="48.42578125" bestFit="1" customWidth="1"/>
    <col min="2" max="2" width="48.42578125" customWidth="1"/>
    <col min="3" max="3" width="11.140625" bestFit="1" customWidth="1"/>
    <col min="4" max="5" width="9.5703125" bestFit="1" customWidth="1"/>
    <col min="6" max="6" width="9.7109375" bestFit="1" customWidth="1"/>
    <col min="7" max="7" width="15.42578125" bestFit="1" customWidth="1"/>
    <col min="8" max="8" width="15.7109375" bestFit="1" customWidth="1"/>
    <col min="9" max="9" width="16" bestFit="1" customWidth="1"/>
    <col min="10" max="10" width="13.140625" bestFit="1" customWidth="1"/>
    <col min="11" max="11" width="12.5703125" bestFit="1" customWidth="1"/>
    <col min="12" max="12" width="11.140625" bestFit="1" customWidth="1"/>
    <col min="13" max="13" width="9.7109375" bestFit="1" customWidth="1"/>
    <col min="14" max="14" width="10.5703125" bestFit="1" customWidth="1"/>
    <col min="15" max="15" width="76.7109375" bestFit="1" customWidth="1"/>
    <col min="17" max="17" width="12.42578125" bestFit="1" customWidth="1"/>
    <col min="23" max="23" width="11.140625" customWidth="1"/>
    <col min="26" max="26" width="11.42578125" bestFit="1" customWidth="1"/>
    <col min="27" max="27" width="13.7109375" customWidth="1"/>
    <col min="28" max="28" width="10.5703125" bestFit="1" customWidth="1"/>
    <col min="31" max="31" width="11.28515625" bestFit="1" customWidth="1"/>
    <col min="32" max="32" width="12.28515625" bestFit="1" customWidth="1"/>
  </cols>
  <sheetData>
    <row r="1" spans="1:32" s="49" customFormat="1">
      <c r="A1" s="109"/>
      <c r="B1" s="109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</row>
    <row r="2" spans="1:32" s="49" customFormat="1">
      <c r="A2" s="109" t="s">
        <v>387</v>
      </c>
      <c r="B2" s="109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</row>
    <row r="3" spans="1:32" s="49" customForma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</row>
    <row r="4" spans="1:32" s="49" customFormat="1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</row>
    <row r="5" spans="1:32" s="49" customFormat="1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</row>
    <row r="6" spans="1:32" s="49" customFormat="1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37" t="s">
        <v>129</v>
      </c>
      <c r="R6" s="137" t="s">
        <v>388</v>
      </c>
      <c r="S6" s="137" t="s">
        <v>102</v>
      </c>
      <c r="T6" s="137"/>
      <c r="U6" s="110"/>
      <c r="V6" s="144" t="s">
        <v>130</v>
      </c>
      <c r="W6" s="144"/>
      <c r="X6" s="83"/>
      <c r="Y6" s="110"/>
      <c r="Z6" s="110"/>
      <c r="AA6" s="137" t="s">
        <v>131</v>
      </c>
      <c r="AB6" s="137" t="s">
        <v>131</v>
      </c>
      <c r="AC6" s="137" t="s">
        <v>132</v>
      </c>
      <c r="AD6" s="137" t="s">
        <v>133</v>
      </c>
      <c r="AE6" s="110"/>
      <c r="AF6" s="110"/>
    </row>
    <row r="7" spans="1:32" s="49" customFormat="1" ht="15.75" thickBot="1">
      <c r="A7" s="106" t="s">
        <v>134</v>
      </c>
      <c r="B7" s="106" t="s">
        <v>389</v>
      </c>
      <c r="C7" s="108" t="s">
        <v>390</v>
      </c>
      <c r="D7" s="108" t="s">
        <v>391</v>
      </c>
      <c r="E7" s="108" t="s">
        <v>105</v>
      </c>
      <c r="F7" s="108" t="s">
        <v>392</v>
      </c>
      <c r="G7" s="78" t="s">
        <v>393</v>
      </c>
      <c r="H7" s="78" t="s">
        <v>394</v>
      </c>
      <c r="I7" s="108" t="s">
        <v>395</v>
      </c>
      <c r="J7" s="108" t="s">
        <v>154</v>
      </c>
      <c r="K7" s="108" t="s">
        <v>396</v>
      </c>
      <c r="L7" s="108" t="s">
        <v>397</v>
      </c>
      <c r="M7" s="108" t="s">
        <v>398</v>
      </c>
      <c r="N7" s="108" t="s">
        <v>399</v>
      </c>
      <c r="O7" s="108" t="s">
        <v>5</v>
      </c>
      <c r="P7" s="110"/>
      <c r="Q7" s="43" t="s">
        <v>102</v>
      </c>
      <c r="R7" s="137" t="s">
        <v>400</v>
      </c>
      <c r="S7" s="43" t="s">
        <v>149</v>
      </c>
      <c r="T7" s="96" t="s">
        <v>401</v>
      </c>
      <c r="U7" s="110"/>
      <c r="V7" s="43" t="s">
        <v>150</v>
      </c>
      <c r="W7" s="43" t="s">
        <v>402</v>
      </c>
      <c r="X7" s="43" t="s">
        <v>152</v>
      </c>
      <c r="Y7" s="110"/>
      <c r="Z7" s="110"/>
      <c r="AA7" s="43" t="s">
        <v>150</v>
      </c>
      <c r="AB7" s="43" t="s">
        <v>153</v>
      </c>
      <c r="AC7" s="43" t="s">
        <v>154</v>
      </c>
      <c r="AD7" s="43" t="s">
        <v>154</v>
      </c>
      <c r="AE7" s="110"/>
      <c r="AF7" s="110"/>
    </row>
    <row r="8" spans="1:32" s="49" customFormat="1">
      <c r="A8" s="107" t="s">
        <v>403</v>
      </c>
      <c r="B8" s="107" t="s">
        <v>403</v>
      </c>
      <c r="C8" s="76"/>
      <c r="D8" s="77" t="s">
        <v>404</v>
      </c>
      <c r="E8" s="110" t="s">
        <v>405</v>
      </c>
      <c r="F8" s="110" t="s">
        <v>406</v>
      </c>
      <c r="G8" s="110"/>
      <c r="H8" s="110">
        <v>300</v>
      </c>
      <c r="I8" s="110">
        <v>82</v>
      </c>
      <c r="J8" s="110" t="s">
        <v>122</v>
      </c>
      <c r="K8" s="77"/>
      <c r="L8" s="77"/>
      <c r="M8" s="110" t="s">
        <v>407</v>
      </c>
      <c r="N8" s="110" t="s">
        <v>408</v>
      </c>
      <c r="O8" s="110" t="s">
        <v>409</v>
      </c>
      <c r="P8" s="110"/>
      <c r="Q8" s="16" t="s">
        <v>20</v>
      </c>
      <c r="R8" s="110" t="b">
        <f>IFERROR(AND(I8/100&gt;=INDEX('CostModel Coef'!$H$18:$H$21,S8),I8/100&lt;=INDEX('CostModel Coef'!$I$18:$I$21,S8)),FALSE)</f>
        <v>0</v>
      </c>
      <c r="S8" s="138">
        <f>IFERROR(MATCH(Q8,'CostModel Coef'!$C$18:$C$21,0),0)</f>
        <v>1</v>
      </c>
      <c r="T8" s="110" t="b">
        <f t="shared" ref="T8:T46" si="0">AND(R8,S8&gt;0)</f>
        <v>0</v>
      </c>
      <c r="U8" s="110"/>
      <c r="V8" s="82" t="str">
        <f>IF(T8,INDEX('CostModel Coef'!$D$18:$D$21,S8)+INDEX('CostModel Coef'!$E$18:$E$21,S8)+INDEX('CostModel Coef'!$G$18:$G$21,S8)*I8/100,"")</f>
        <v/>
      </c>
      <c r="W8" s="34" t="str">
        <f>IF(T8,INDEX('CostModel Coef'!$J$18:$J$21,S8),"")</f>
        <v/>
      </c>
      <c r="X8" s="99" t="str">
        <f>IF(T8,INDEX('CostModel Coef'!$M$18:$M$21,S8),"")</f>
        <v/>
      </c>
      <c r="Y8" s="110"/>
      <c r="Z8" s="110"/>
      <c r="AA8" s="44" t="str">
        <f>IF(T8,ROUND(V8*(1+X8),0),"")</f>
        <v/>
      </c>
      <c r="AB8" s="44" t="str">
        <f>IF(T8,ROUND(W8*(1+X8),2),"")</f>
        <v/>
      </c>
      <c r="AC8" s="97" t="str">
        <f>IF(T8,INDEX('CostModel Coef'!$K$18:$K$21,S8),"")</f>
        <v/>
      </c>
      <c r="AD8" s="97" t="str">
        <f>IF(T8,INDEX('CostModel Coef'!$L$18:$L$21,S8),"")</f>
        <v/>
      </c>
      <c r="AE8" s="110"/>
      <c r="AF8" s="81"/>
    </row>
    <row r="9" spans="1:32" s="49" customFormat="1">
      <c r="A9" s="107" t="s">
        <v>410</v>
      </c>
      <c r="B9" s="107" t="s">
        <v>410</v>
      </c>
      <c r="C9" s="76"/>
      <c r="D9" s="77" t="s">
        <v>404</v>
      </c>
      <c r="E9" s="110" t="s">
        <v>405</v>
      </c>
      <c r="F9" s="110" t="s">
        <v>411</v>
      </c>
      <c r="G9" s="110">
        <v>300</v>
      </c>
      <c r="H9" s="110">
        <v>2500</v>
      </c>
      <c r="I9" s="110">
        <v>80</v>
      </c>
      <c r="J9" s="110" t="s">
        <v>123</v>
      </c>
      <c r="K9" s="77"/>
      <c r="L9" s="77"/>
      <c r="M9" s="110" t="s">
        <v>407</v>
      </c>
      <c r="N9" s="110" t="s">
        <v>408</v>
      </c>
      <c r="O9" s="110" t="s">
        <v>412</v>
      </c>
      <c r="P9" s="110"/>
      <c r="Q9" s="76" t="s">
        <v>22</v>
      </c>
      <c r="R9" s="110" t="b">
        <f>IFERROR(AND(I9/100&gt;=INDEX('CostModel Coef'!$H$18:$H$21,S9),I9/100&lt;=INDEX('CostModel Coef'!$I$18:$I$21,S9)),FALSE)</f>
        <v>0</v>
      </c>
      <c r="S9" s="138">
        <f>IFERROR(MATCH(Q9,'CostModel Coef'!$C$18:$C$21,0),0)</f>
        <v>2</v>
      </c>
      <c r="T9" s="110" t="b">
        <f t="shared" si="0"/>
        <v>0</v>
      </c>
      <c r="U9" s="110"/>
      <c r="V9" s="82" t="str">
        <f>IF(T9,INDEX('CostModel Coef'!$D$18:$D$21,S9)+INDEX('CostModel Coef'!$E$18:$E$21,S9)+INDEX('CostModel Coef'!$G$18:$G$21,S9)*I9/100,"")</f>
        <v/>
      </c>
      <c r="W9" s="34" t="str">
        <f>IF(T9,INDEX('CostModel Coef'!$J$18:$J$21,S9),"")</f>
        <v/>
      </c>
      <c r="X9" s="99" t="str">
        <f>IF(T9,INDEX('CostModel Coef'!$M$18:$M$21,S9),"")</f>
        <v/>
      </c>
      <c r="Y9" s="110"/>
      <c r="Z9" s="110"/>
      <c r="AA9" s="44" t="str">
        <f t="shared" ref="AA9:AA46" si="1">IF(T9,ROUND(V9*(1+X9),0),"")</f>
        <v/>
      </c>
      <c r="AB9" s="44" t="str">
        <f t="shared" ref="AB9:AB46" si="2">IF(T9,ROUND(W9*(1+X9),2),"")</f>
        <v/>
      </c>
      <c r="AC9" s="97" t="str">
        <f>IF(T9,INDEX('CostModel Coef'!$K$18:$K$21,S9),"")</f>
        <v/>
      </c>
      <c r="AD9" s="97" t="str">
        <f>IF(T9,INDEX('CostModel Coef'!$L$18:$L$21,S9),"")</f>
        <v/>
      </c>
      <c r="AE9" s="110"/>
      <c r="AF9" s="81"/>
    </row>
    <row r="10" spans="1:32" s="49" customFormat="1">
      <c r="A10" s="107" t="s">
        <v>413</v>
      </c>
      <c r="B10" s="107" t="s">
        <v>413</v>
      </c>
      <c r="C10" s="76"/>
      <c r="D10" s="77" t="s">
        <v>404</v>
      </c>
      <c r="E10" s="110" t="s">
        <v>405</v>
      </c>
      <c r="F10" s="110" t="s">
        <v>414</v>
      </c>
      <c r="G10" s="110">
        <v>2500</v>
      </c>
      <c r="H10" s="110"/>
      <c r="I10" s="110">
        <v>80</v>
      </c>
      <c r="J10" s="110" t="s">
        <v>123</v>
      </c>
      <c r="K10" s="110">
        <v>82</v>
      </c>
      <c r="L10" s="110" t="s">
        <v>415</v>
      </c>
      <c r="M10" s="110" t="s">
        <v>407</v>
      </c>
      <c r="N10" s="110" t="s">
        <v>408</v>
      </c>
      <c r="O10" s="110" t="s">
        <v>416</v>
      </c>
      <c r="P10" s="110"/>
      <c r="Q10" s="76" t="s">
        <v>22</v>
      </c>
      <c r="R10" s="110" t="b">
        <f>IFERROR(AND(I10/100&gt;=INDEX('CostModel Coef'!$H$18:$H$21,S10),I10/100&lt;=INDEX('CostModel Coef'!$I$18:$I$21,S10)),FALSE)</f>
        <v>0</v>
      </c>
      <c r="S10" s="138">
        <f>IFERROR(MATCH(Q10,'CostModel Coef'!$C$18:$C$21,0),0)</f>
        <v>2</v>
      </c>
      <c r="T10" s="110" t="b">
        <f t="shared" si="0"/>
        <v>0</v>
      </c>
      <c r="U10" s="110"/>
      <c r="V10" s="82" t="str">
        <f>IF(T10,INDEX('CostModel Coef'!$D$18:$D$21,S10)+INDEX('CostModel Coef'!$E$18:$E$21,S10)+INDEX('CostModel Coef'!$G$18:$G$21,S10)*I10/100,"")</f>
        <v/>
      </c>
      <c r="W10" s="34" t="str">
        <f>IF(T10,INDEX('CostModel Coef'!$J$18:$J$21,S10),"")</f>
        <v/>
      </c>
      <c r="X10" s="99" t="str">
        <f>IF(T10,INDEX('CostModel Coef'!$M$18:$M$21,S10),"")</f>
        <v/>
      </c>
      <c r="Y10" s="110"/>
      <c r="Z10" s="110"/>
      <c r="AA10" s="44" t="str">
        <f t="shared" si="1"/>
        <v/>
      </c>
      <c r="AB10" s="44" t="str">
        <f t="shared" si="2"/>
        <v/>
      </c>
      <c r="AC10" s="97" t="str">
        <f>IF(T10,INDEX('CostModel Coef'!$K$18:$K$21,S10),"")</f>
        <v/>
      </c>
      <c r="AD10" s="97" t="str">
        <f>IF(T10,INDEX('CostModel Coef'!$L$18:$L$21,S10),"")</f>
        <v/>
      </c>
      <c r="AE10" s="110"/>
      <c r="AF10" s="81"/>
    </row>
    <row r="11" spans="1:32" s="49" customFormat="1">
      <c r="A11" s="107" t="s">
        <v>417</v>
      </c>
      <c r="B11" s="107" t="s">
        <v>417</v>
      </c>
      <c r="C11" s="76"/>
      <c r="D11" s="77" t="s">
        <v>404</v>
      </c>
      <c r="E11" s="110" t="s">
        <v>418</v>
      </c>
      <c r="F11" s="110" t="s">
        <v>406</v>
      </c>
      <c r="G11" s="110"/>
      <c r="H11" s="110">
        <v>300</v>
      </c>
      <c r="I11" s="110">
        <v>80</v>
      </c>
      <c r="J11" s="110" t="s">
        <v>122</v>
      </c>
      <c r="K11" s="77"/>
      <c r="L11" s="77"/>
      <c r="M11" s="110" t="s">
        <v>407</v>
      </c>
      <c r="N11" s="110" t="s">
        <v>408</v>
      </c>
      <c r="O11" s="110" t="s">
        <v>419</v>
      </c>
      <c r="P11" s="110"/>
      <c r="Q11" s="76" t="s">
        <v>161</v>
      </c>
      <c r="R11" s="110" t="b">
        <f>IFERROR(AND(I11/100&gt;=INDEX('CostModel Coef'!$H$18:$H$21,S11),I11/100&lt;=INDEX('CostModel Coef'!$I$18:$I$21,S11)),FALSE)</f>
        <v>0</v>
      </c>
      <c r="S11" s="138">
        <f>IFERROR(MATCH(Q11,'CostModel Coef'!$C$18:$C$21,0),0)</f>
        <v>0</v>
      </c>
      <c r="T11" s="110" t="b">
        <f t="shared" si="0"/>
        <v>0</v>
      </c>
      <c r="U11" s="110"/>
      <c r="V11" s="82" t="str">
        <f>IF(T11,INDEX('CostModel Coef'!$D$18:$D$21,S11)+INDEX('CostModel Coef'!$E$18:$E$21,S11)+INDEX('CostModel Coef'!$G$18:$G$21,S11)*I11/100,"")</f>
        <v/>
      </c>
      <c r="W11" s="34" t="str">
        <f>IF(T11,INDEX('CostModel Coef'!$J$18:$J$21,S11),"")</f>
        <v/>
      </c>
      <c r="X11" s="99" t="str">
        <f>IF(T11,INDEX('CostModel Coef'!$M$18:$M$21,S11),"")</f>
        <v/>
      </c>
      <c r="Y11" s="110"/>
      <c r="Z11" s="110"/>
      <c r="AA11" s="44" t="str">
        <f t="shared" si="1"/>
        <v/>
      </c>
      <c r="AB11" s="44" t="str">
        <f t="shared" si="2"/>
        <v/>
      </c>
      <c r="AC11" s="97" t="str">
        <f>IF(T11,INDEX('CostModel Coef'!$K$18:$K$21,S11),"")</f>
        <v/>
      </c>
      <c r="AD11" s="97" t="str">
        <f>IF(T11,INDEX('CostModel Coef'!$L$18:$L$21,S11),"")</f>
        <v/>
      </c>
      <c r="AE11" s="81"/>
      <c r="AF11" s="81"/>
    </row>
    <row r="12" spans="1:32" s="49" customFormat="1">
      <c r="A12" s="107" t="s">
        <v>420</v>
      </c>
      <c r="B12" s="107" t="s">
        <v>420</v>
      </c>
      <c r="C12" s="76"/>
      <c r="D12" s="77" t="s">
        <v>404</v>
      </c>
      <c r="E12" s="110" t="s">
        <v>418</v>
      </c>
      <c r="F12" s="110" t="s">
        <v>411</v>
      </c>
      <c r="G12" s="110">
        <v>300</v>
      </c>
      <c r="H12" s="110">
        <v>2500</v>
      </c>
      <c r="I12" s="110">
        <v>79</v>
      </c>
      <c r="J12" s="110" t="s">
        <v>123</v>
      </c>
      <c r="K12" s="77"/>
      <c r="L12" s="77"/>
      <c r="M12" s="110" t="s">
        <v>407</v>
      </c>
      <c r="N12" s="110" t="s">
        <v>408</v>
      </c>
      <c r="O12" s="110" t="s">
        <v>421</v>
      </c>
      <c r="P12" s="110"/>
      <c r="Q12" s="76" t="s">
        <v>26</v>
      </c>
      <c r="R12" s="110" t="b">
        <f>IFERROR(AND(I12/100&gt;=INDEX('CostModel Coef'!$H$18:$H$21,S12),I12/100&lt;=INDEX('CostModel Coef'!$I$18:$I$21,S12)),FALSE)</f>
        <v>0</v>
      </c>
      <c r="S12" s="138">
        <f>IFERROR(MATCH(Q12,'CostModel Coef'!$C$18:$C$21,0),0)</f>
        <v>4</v>
      </c>
      <c r="T12" s="110" t="b">
        <f t="shared" si="0"/>
        <v>0</v>
      </c>
      <c r="U12" s="110"/>
      <c r="V12" s="82" t="str">
        <f>IF(T12,INDEX('CostModel Coef'!$D$18:$D$21,S12)+INDEX('CostModel Coef'!$E$18:$E$21,S12)+INDEX('CostModel Coef'!$G$18:$G$21,S12)*I12/100,"")</f>
        <v/>
      </c>
      <c r="W12" s="34" t="str">
        <f>IF(T12,INDEX('CostModel Coef'!$J$18:$J$21,S12),"")</f>
        <v/>
      </c>
      <c r="X12" s="99" t="str">
        <f>IF(T12,INDEX('CostModel Coef'!$M$18:$M$21,S12),"")</f>
        <v/>
      </c>
      <c r="Y12" s="110"/>
      <c r="Z12" s="110"/>
      <c r="AA12" s="44" t="str">
        <f t="shared" si="1"/>
        <v/>
      </c>
      <c r="AB12" s="44" t="str">
        <f t="shared" si="2"/>
        <v/>
      </c>
      <c r="AC12" s="97" t="str">
        <f>IF(T12,INDEX('CostModel Coef'!$K$18:$K$21,S12),"")</f>
        <v/>
      </c>
      <c r="AD12" s="97" t="str">
        <f>IF(T12,INDEX('CostModel Coef'!$L$18:$L$21,S12),"")</f>
        <v/>
      </c>
      <c r="AE12" s="110"/>
      <c r="AF12" s="81"/>
    </row>
    <row r="13" spans="1:32" s="49" customFormat="1">
      <c r="A13" s="107" t="s">
        <v>422</v>
      </c>
      <c r="B13" s="107" t="s">
        <v>422</v>
      </c>
      <c r="C13" s="76"/>
      <c r="D13" s="77" t="s">
        <v>404</v>
      </c>
      <c r="E13" s="110" t="s">
        <v>418</v>
      </c>
      <c r="F13" s="110" t="s">
        <v>414</v>
      </c>
      <c r="G13" s="110">
        <v>2500</v>
      </c>
      <c r="H13" s="110"/>
      <c r="I13" s="110">
        <v>79</v>
      </c>
      <c r="J13" s="110" t="s">
        <v>123</v>
      </c>
      <c r="K13" s="110">
        <v>82</v>
      </c>
      <c r="L13" s="110" t="s">
        <v>415</v>
      </c>
      <c r="M13" s="110" t="s">
        <v>407</v>
      </c>
      <c r="N13" s="110" t="s">
        <v>408</v>
      </c>
      <c r="O13" s="110" t="s">
        <v>423</v>
      </c>
      <c r="P13" s="110"/>
      <c r="Q13" s="76" t="s">
        <v>26</v>
      </c>
      <c r="R13" s="110" t="b">
        <f>IFERROR(AND(I13/100&gt;=INDEX('CostModel Coef'!$H$18:$H$21,S13),I13/100&lt;=INDEX('CostModel Coef'!$I$18:$I$21,S13)),FALSE)</f>
        <v>0</v>
      </c>
      <c r="S13" s="138">
        <f>IFERROR(MATCH(Q13,'CostModel Coef'!$C$18:$C$21,0),0)</f>
        <v>4</v>
      </c>
      <c r="T13" s="110" t="b">
        <f t="shared" si="0"/>
        <v>0</v>
      </c>
      <c r="U13" s="110"/>
      <c r="V13" s="82" t="str">
        <f>IF(T13,INDEX('CostModel Coef'!$D$18:$D$21,S13)+INDEX('CostModel Coef'!$E$18:$E$21,S13)+INDEX('CostModel Coef'!$G$18:$G$21,S13)*I13/100,"")</f>
        <v/>
      </c>
      <c r="W13" s="34" t="str">
        <f>IF(T13,INDEX('CostModel Coef'!$J$18:$J$21,S13),"")</f>
        <v/>
      </c>
      <c r="X13" s="99" t="str">
        <f>IF(T13,INDEX('CostModel Coef'!$M$18:$M$21,S13),"")</f>
        <v/>
      </c>
      <c r="Y13" s="110"/>
      <c r="Z13" s="110"/>
      <c r="AA13" s="44" t="str">
        <f t="shared" si="1"/>
        <v/>
      </c>
      <c r="AB13" s="44" t="str">
        <f t="shared" si="2"/>
        <v/>
      </c>
      <c r="AC13" s="97" t="str">
        <f>IF(T13,INDEX('CostModel Coef'!$K$18:$K$21,S13),"")</f>
        <v/>
      </c>
      <c r="AD13" s="97" t="str">
        <f>IF(T13,INDEX('CostModel Coef'!$L$18:$L$21,S13),"")</f>
        <v/>
      </c>
      <c r="AE13" s="110"/>
      <c r="AF13" s="81"/>
    </row>
    <row r="14" spans="1:32" s="49" customFormat="1">
      <c r="A14" s="107" t="s">
        <v>424</v>
      </c>
      <c r="B14" s="107" t="s">
        <v>424</v>
      </c>
      <c r="C14" s="110"/>
      <c r="D14" s="110" t="s">
        <v>425</v>
      </c>
      <c r="E14" s="110" t="s">
        <v>405</v>
      </c>
      <c r="F14" s="110" t="s">
        <v>406</v>
      </c>
      <c r="G14" s="110"/>
      <c r="H14" s="110">
        <v>300</v>
      </c>
      <c r="I14" s="110">
        <v>84</v>
      </c>
      <c r="J14" s="110" t="s">
        <v>122</v>
      </c>
      <c r="K14" s="110"/>
      <c r="L14" s="110"/>
      <c r="M14" s="110" t="s">
        <v>407</v>
      </c>
      <c r="N14" s="110" t="s">
        <v>408</v>
      </c>
      <c r="O14" s="110" t="s">
        <v>426</v>
      </c>
      <c r="P14" s="110"/>
      <c r="Q14" s="76" t="s">
        <v>20</v>
      </c>
      <c r="R14" s="110" t="b">
        <f>IFERROR(AND(I14/100&gt;=INDEX('CostModel Coef'!$H$18:$H$21,S14),I14/100&lt;=INDEX('CostModel Coef'!$I$18:$I$21,S14)),FALSE)</f>
        <v>1</v>
      </c>
      <c r="S14" s="138">
        <f>IFERROR(MATCH(Q14,'CostModel Coef'!$C$18:$C$21,0),0)</f>
        <v>1</v>
      </c>
      <c r="T14" s="110" t="b">
        <f t="shared" si="0"/>
        <v>1</v>
      </c>
      <c r="U14" s="110"/>
      <c r="V14" s="82">
        <f>IF(T14,INDEX('CostModel Coef'!$D$18:$D$21,S14)+INDEX('CostModel Coef'!$E$18:$E$21,S14)+INDEX('CostModel Coef'!$G$18:$G$21,S14)*I14/100,"")</f>
        <v>816.30798400001368</v>
      </c>
      <c r="W14" s="34">
        <f>IF(T14,INDEX('CostModel Coef'!$J$18:$J$21,S14),"")</f>
        <v>13.549899999999999</v>
      </c>
      <c r="X14" s="99">
        <f>IF(T14,INDEX('CostModel Coef'!$M$18:$M$21,S14),"")</f>
        <v>0.3</v>
      </c>
      <c r="Y14" s="110"/>
      <c r="Z14" s="110"/>
      <c r="AA14" s="44">
        <f t="shared" si="1"/>
        <v>1061</v>
      </c>
      <c r="AB14" s="44">
        <f t="shared" si="2"/>
        <v>17.61</v>
      </c>
      <c r="AC14" s="97">
        <f>IF(T14,INDEX('CostModel Coef'!$K$18:$K$21,S14),"")</f>
        <v>90</v>
      </c>
      <c r="AD14" s="97">
        <f>IF(T14,INDEX('CostModel Coef'!$L$18:$L$21,S14),"")</f>
        <v>238</v>
      </c>
      <c r="AE14" s="110"/>
      <c r="AF14" s="81"/>
    </row>
    <row r="15" spans="1:32" s="49" customFormat="1">
      <c r="A15" s="107" t="s">
        <v>427</v>
      </c>
      <c r="B15" s="107" t="s">
        <v>427</v>
      </c>
      <c r="C15" s="110"/>
      <c r="D15" s="110" t="s">
        <v>425</v>
      </c>
      <c r="E15" s="110" t="s">
        <v>405</v>
      </c>
      <c r="F15" s="110" t="s">
        <v>406</v>
      </c>
      <c r="G15" s="110"/>
      <c r="H15" s="110">
        <v>300</v>
      </c>
      <c r="I15" s="110">
        <v>84.5</v>
      </c>
      <c r="J15" s="110" t="s">
        <v>122</v>
      </c>
      <c r="K15" s="110"/>
      <c r="L15" s="110"/>
      <c r="M15" s="110" t="s">
        <v>407</v>
      </c>
      <c r="N15" s="110" t="s">
        <v>408</v>
      </c>
      <c r="O15" s="110" t="s">
        <v>428</v>
      </c>
      <c r="P15" s="110"/>
      <c r="Q15" s="76" t="s">
        <v>20</v>
      </c>
      <c r="R15" s="110" t="b">
        <f>IFERROR(AND(I15/100&gt;=INDEX('CostModel Coef'!$H$18:$H$21,S15),I15/100&lt;=INDEX('CostModel Coef'!$I$18:$I$21,S15)),FALSE)</f>
        <v>1</v>
      </c>
      <c r="S15" s="138">
        <f>IFERROR(MATCH(Q15,'CostModel Coef'!$C$18:$C$21,0),0)</f>
        <v>1</v>
      </c>
      <c r="T15" s="110" t="b">
        <f t="shared" si="0"/>
        <v>1</v>
      </c>
      <c r="U15" s="110"/>
      <c r="V15" s="82">
        <f>IF(T15,INDEX('CostModel Coef'!$D$18:$D$21,S15)+INDEX('CostModel Coef'!$E$18:$E$21,S15)+INDEX('CostModel Coef'!$G$18:$G$21,S15)*I15/100,"")</f>
        <v>1372.1777595000167</v>
      </c>
      <c r="W15" s="34">
        <f>IF(T15,INDEX('CostModel Coef'!$J$18:$J$21,S15),"")</f>
        <v>13.549899999999999</v>
      </c>
      <c r="X15" s="99">
        <f>IF(T15,INDEX('CostModel Coef'!$M$18:$M$21,S15),"")</f>
        <v>0.3</v>
      </c>
      <c r="Y15" s="110"/>
      <c r="Z15" s="110"/>
      <c r="AA15" s="44">
        <f t="shared" si="1"/>
        <v>1784</v>
      </c>
      <c r="AB15" s="44">
        <f t="shared" si="2"/>
        <v>17.61</v>
      </c>
      <c r="AC15" s="97">
        <f>IF(T15,INDEX('CostModel Coef'!$K$18:$K$21,S15),"")</f>
        <v>90</v>
      </c>
      <c r="AD15" s="97">
        <f>IF(T15,INDEX('CostModel Coef'!$L$18:$L$21,S15),"")</f>
        <v>238</v>
      </c>
      <c r="AE15" s="110"/>
      <c r="AF15" s="81"/>
    </row>
    <row r="16" spans="1:32" s="49" customFormat="1">
      <c r="A16" s="107" t="s">
        <v>429</v>
      </c>
      <c r="B16" s="107" t="s">
        <v>429</v>
      </c>
      <c r="C16" s="110"/>
      <c r="D16" s="110" t="s">
        <v>425</v>
      </c>
      <c r="E16" s="110" t="s">
        <v>405</v>
      </c>
      <c r="F16" s="110" t="s">
        <v>406</v>
      </c>
      <c r="G16" s="110"/>
      <c r="H16" s="110">
        <v>300</v>
      </c>
      <c r="I16" s="110">
        <v>85</v>
      </c>
      <c r="J16" s="110" t="s">
        <v>122</v>
      </c>
      <c r="K16" s="110"/>
      <c r="L16" s="110"/>
      <c r="M16" s="110" t="s">
        <v>407</v>
      </c>
      <c r="N16" s="110" t="s">
        <v>408</v>
      </c>
      <c r="O16" s="110" t="s">
        <v>430</v>
      </c>
      <c r="P16" s="110"/>
      <c r="Q16" s="76" t="s">
        <v>20</v>
      </c>
      <c r="R16" s="110" t="b">
        <f>IFERROR(AND(I16/100&gt;=INDEX('CostModel Coef'!$H$18:$H$21,S16),I16/100&lt;=INDEX('CostModel Coef'!$I$18:$I$21,S16)),FALSE)</f>
        <v>1</v>
      </c>
      <c r="S16" s="138">
        <f>IFERROR(MATCH(Q16,'CostModel Coef'!$C$18:$C$21,0),0)</f>
        <v>1</v>
      </c>
      <c r="T16" s="110" t="b">
        <f t="shared" si="0"/>
        <v>1</v>
      </c>
      <c r="U16" s="110"/>
      <c r="V16" s="82">
        <f>IF(T16,INDEX('CostModel Coef'!$D$18:$D$21,S16)+INDEX('CostModel Coef'!$E$18:$E$21,S16)+INDEX('CostModel Coef'!$G$18:$G$21,S16)*I16/100,"")</f>
        <v>1928.0475350000197</v>
      </c>
      <c r="W16" s="34">
        <f>IF(T16,INDEX('CostModel Coef'!$J$18:$J$21,S16),"")</f>
        <v>13.549899999999999</v>
      </c>
      <c r="X16" s="99">
        <f>IF(T16,INDEX('CostModel Coef'!$M$18:$M$21,S16),"")</f>
        <v>0.3</v>
      </c>
      <c r="Y16" s="110"/>
      <c r="Z16" s="110"/>
      <c r="AA16" s="44">
        <f t="shared" si="1"/>
        <v>2506</v>
      </c>
      <c r="AB16" s="44">
        <f t="shared" si="2"/>
        <v>17.61</v>
      </c>
      <c r="AC16" s="97">
        <f>IF(T16,INDEX('CostModel Coef'!$K$18:$K$21,S16),"")</f>
        <v>90</v>
      </c>
      <c r="AD16" s="97">
        <f>IF(T16,INDEX('CostModel Coef'!$L$18:$L$21,S16),"")</f>
        <v>238</v>
      </c>
      <c r="AE16" s="110"/>
      <c r="AF16" s="81"/>
    </row>
    <row r="17" spans="1:32" s="49" customFormat="1">
      <c r="A17" s="107" t="s">
        <v>431</v>
      </c>
      <c r="B17" s="107" t="s">
        <v>431</v>
      </c>
      <c r="C17" s="110"/>
      <c r="D17" s="110" t="s">
        <v>425</v>
      </c>
      <c r="E17" s="110" t="s">
        <v>405</v>
      </c>
      <c r="F17" s="110" t="s">
        <v>406</v>
      </c>
      <c r="G17" s="110"/>
      <c r="H17" s="110">
        <v>300</v>
      </c>
      <c r="I17" s="110">
        <v>87</v>
      </c>
      <c r="J17" s="110" t="s">
        <v>122</v>
      </c>
      <c r="K17" s="110"/>
      <c r="L17" s="110"/>
      <c r="M17" s="110" t="s">
        <v>407</v>
      </c>
      <c r="N17" s="110" t="s">
        <v>408</v>
      </c>
      <c r="O17" s="110" t="s">
        <v>432</v>
      </c>
      <c r="P17" s="110"/>
      <c r="Q17" s="76" t="s">
        <v>20</v>
      </c>
      <c r="R17" s="110" t="b">
        <f>IFERROR(AND(I17/100&gt;=INDEX('CostModel Coef'!$H$18:$H$21,S17),I17/100&lt;=INDEX('CostModel Coef'!$I$18:$I$21,S17)),FALSE)</f>
        <v>0</v>
      </c>
      <c r="S17" s="138">
        <f>IFERROR(MATCH(Q17,'CostModel Coef'!$C$18:$C$21,0),0)</f>
        <v>1</v>
      </c>
      <c r="T17" s="110" t="b">
        <f t="shared" si="0"/>
        <v>0</v>
      </c>
      <c r="U17" s="110"/>
      <c r="V17" s="82" t="str">
        <f>IF(T17,INDEX('CostModel Coef'!$D$18:$D$21,S17)+INDEX('CostModel Coef'!$E$18:$E$21,S17)+INDEX('CostModel Coef'!$G$18:$G$21,S17)*I17/100,"")</f>
        <v/>
      </c>
      <c r="W17" s="34" t="str">
        <f>IF(T17,INDEX('CostModel Coef'!$J$18:$J$21,S17),"")</f>
        <v/>
      </c>
      <c r="X17" s="99" t="str">
        <f>IF(T17,INDEX('CostModel Coef'!$M$18:$M$21,S17),"")</f>
        <v/>
      </c>
      <c r="Y17" s="110"/>
      <c r="Z17" s="110"/>
      <c r="AA17" s="44" t="str">
        <f t="shared" si="1"/>
        <v/>
      </c>
      <c r="AB17" s="44" t="str">
        <f t="shared" si="2"/>
        <v/>
      </c>
      <c r="AC17" s="97" t="str">
        <f>IF(T17,INDEX('CostModel Coef'!$K$18:$K$21,S17),"")</f>
        <v/>
      </c>
      <c r="AD17" s="97" t="str">
        <f>IF(T17,INDEX('CostModel Coef'!$L$18:$L$21,S17),"")</f>
        <v/>
      </c>
      <c r="AE17" s="110"/>
      <c r="AF17" s="81"/>
    </row>
    <row r="18" spans="1:32" s="49" customFormat="1">
      <c r="A18" s="107" t="s">
        <v>433</v>
      </c>
      <c r="B18" s="107" t="s">
        <v>434</v>
      </c>
      <c r="C18" s="110"/>
      <c r="D18" s="110" t="s">
        <v>425</v>
      </c>
      <c r="E18" s="110" t="s">
        <v>405</v>
      </c>
      <c r="F18" s="110" t="s">
        <v>406</v>
      </c>
      <c r="G18" s="110"/>
      <c r="H18" s="110">
        <v>300</v>
      </c>
      <c r="I18" s="110">
        <v>90</v>
      </c>
      <c r="J18" s="110" t="s">
        <v>122</v>
      </c>
      <c r="K18" s="110"/>
      <c r="L18" s="110"/>
      <c r="M18" s="110" t="s">
        <v>407</v>
      </c>
      <c r="N18" s="110" t="s">
        <v>435</v>
      </c>
      <c r="O18" s="110" t="s">
        <v>436</v>
      </c>
      <c r="P18" s="110"/>
      <c r="Q18" s="76" t="s">
        <v>24</v>
      </c>
      <c r="R18" s="100" t="b">
        <v>0</v>
      </c>
      <c r="S18" s="138">
        <f>IFERROR(MATCH(Q18,'CostModel Coef'!$C$18:$C$21,0),0)</f>
        <v>3</v>
      </c>
      <c r="T18" s="110" t="b">
        <f t="shared" si="0"/>
        <v>0</v>
      </c>
      <c r="U18" s="110"/>
      <c r="V18" s="82" t="str">
        <f>IF(T18,INDEX('CostModel Coef'!$D$18:$D$21,S18)+INDEX('CostModel Coef'!$E$18:$E$21,S18)+INDEX('CostModel Coef'!$G$18:$G$21,S18)*I18/100,"")</f>
        <v/>
      </c>
      <c r="W18" s="34" t="str">
        <f>IF(T18,INDEX('CostModel Coef'!$J$18:$J$21,S18),"")</f>
        <v/>
      </c>
      <c r="X18" s="99" t="str">
        <f>IF(T18,INDEX('CostModel Coef'!$M$18:$M$21,S18),"")</f>
        <v/>
      </c>
      <c r="Y18" s="110"/>
      <c r="Z18" s="110"/>
      <c r="AA18" s="44" t="str">
        <f t="shared" si="1"/>
        <v/>
      </c>
      <c r="AB18" s="44" t="str">
        <f t="shared" si="2"/>
        <v/>
      </c>
      <c r="AC18" s="97" t="str">
        <f>IF(T18,INDEX('CostModel Coef'!$K$18:$K$21,S18),"")</f>
        <v/>
      </c>
      <c r="AD18" s="97" t="str">
        <f>IF(T18,INDEX('CostModel Coef'!$L$18:$L$21,S18),"")</f>
        <v/>
      </c>
      <c r="AE18" s="110"/>
      <c r="AF18" s="81"/>
    </row>
    <row r="19" spans="1:32" s="49" customFormat="1">
      <c r="A19" s="107" t="s">
        <v>437</v>
      </c>
      <c r="B19" s="107" t="s">
        <v>434</v>
      </c>
      <c r="C19" s="110"/>
      <c r="D19" s="110" t="s">
        <v>425</v>
      </c>
      <c r="E19" s="110" t="s">
        <v>405</v>
      </c>
      <c r="F19" s="110" t="s">
        <v>406</v>
      </c>
      <c r="G19" s="110"/>
      <c r="H19" s="110">
        <v>300</v>
      </c>
      <c r="I19" s="110">
        <v>90</v>
      </c>
      <c r="J19" s="110" t="s">
        <v>122</v>
      </c>
      <c r="K19" s="110"/>
      <c r="L19" s="110"/>
      <c r="M19" s="110" t="s">
        <v>407</v>
      </c>
      <c r="N19" s="110" t="s">
        <v>435</v>
      </c>
      <c r="O19" s="110" t="s">
        <v>438</v>
      </c>
      <c r="P19" s="110"/>
      <c r="Q19" s="76" t="s">
        <v>24</v>
      </c>
      <c r="R19" s="100" t="b">
        <v>0</v>
      </c>
      <c r="S19" s="138">
        <f>IFERROR(MATCH(Q19,'CostModel Coef'!$C$18:$C$21,0),0)</f>
        <v>3</v>
      </c>
      <c r="T19" s="100" t="b">
        <v>0</v>
      </c>
      <c r="U19" s="110"/>
      <c r="V19" s="82" t="str">
        <f>IF(T19,INDEX('CostModel Coef'!$D$18:$D$21,S19)+INDEX('CostModel Coef'!$E$18:$E$21,S19)+INDEX('CostModel Coef'!$G$18:$G$21,S19)*I19/100,"")</f>
        <v/>
      </c>
      <c r="W19" s="34" t="str">
        <f>IF(T19,INDEX('CostModel Coef'!$J$18:$J$21,S19),"")</f>
        <v/>
      </c>
      <c r="X19" s="99" t="str">
        <f>IF(T19,INDEX('CostModel Coef'!$M$18:$M$21,S19),"")</f>
        <v/>
      </c>
      <c r="Y19" s="110"/>
      <c r="Z19" s="110"/>
      <c r="AA19" s="44" t="str">
        <f t="shared" si="1"/>
        <v/>
      </c>
      <c r="AB19" s="44" t="str">
        <f t="shared" si="2"/>
        <v/>
      </c>
      <c r="AC19" s="97" t="str">
        <f>IF(T19,INDEX('CostModel Coef'!$K$18:$K$21,S19),"")</f>
        <v/>
      </c>
      <c r="AD19" s="97" t="str">
        <f>IF(T19,INDEX('CostModel Coef'!$L$18:$L$21,S19),"")</f>
        <v/>
      </c>
      <c r="AE19" s="110"/>
      <c r="AF19" s="81"/>
    </row>
    <row r="20" spans="1:32" s="49" customFormat="1">
      <c r="A20" s="107" t="s">
        <v>439</v>
      </c>
      <c r="B20" s="107" t="s">
        <v>434</v>
      </c>
      <c r="C20" s="110"/>
      <c r="D20" s="110" t="s">
        <v>425</v>
      </c>
      <c r="E20" s="110" t="s">
        <v>405</v>
      </c>
      <c r="F20" s="110" t="s">
        <v>406</v>
      </c>
      <c r="G20" s="110"/>
      <c r="H20" s="110">
        <v>300</v>
      </c>
      <c r="I20" s="110">
        <v>90</v>
      </c>
      <c r="J20" s="110" t="s">
        <v>122</v>
      </c>
      <c r="K20" s="110"/>
      <c r="L20" s="110"/>
      <c r="M20" s="110" t="s">
        <v>407</v>
      </c>
      <c r="N20" s="110" t="s">
        <v>435</v>
      </c>
      <c r="O20" s="110" t="s">
        <v>440</v>
      </c>
      <c r="P20" s="110"/>
      <c r="Q20" s="76" t="s">
        <v>24</v>
      </c>
      <c r="R20" s="100" t="b">
        <v>0</v>
      </c>
      <c r="S20" s="138">
        <f>IFERROR(MATCH(Q20,'CostModel Coef'!$C$18:$C$21,0),0)</f>
        <v>3</v>
      </c>
      <c r="T20" s="100" t="b">
        <v>0</v>
      </c>
      <c r="U20" s="110"/>
      <c r="V20" s="82" t="str">
        <f>IF(T20,INDEX('CostModel Coef'!$D$18:$D$21,S20)+INDEX('CostModel Coef'!$E$18:$E$21,S20)+INDEX('CostModel Coef'!$G$18:$G$21,S20)*I20/100,"")</f>
        <v/>
      </c>
      <c r="W20" s="34" t="str">
        <f>IF(T20,INDEX('CostModel Coef'!$J$18:$J$21,S20),"")</f>
        <v/>
      </c>
      <c r="X20" s="99" t="str">
        <f>IF(T20,INDEX('CostModel Coef'!$M$18:$M$21,S20),"")</f>
        <v/>
      </c>
      <c r="Y20" s="110"/>
      <c r="Z20" s="110"/>
      <c r="AA20" s="44" t="str">
        <f t="shared" si="1"/>
        <v/>
      </c>
      <c r="AB20" s="44" t="str">
        <f t="shared" si="2"/>
        <v/>
      </c>
      <c r="AC20" s="97" t="str">
        <f>IF(T20,INDEX('CostModel Coef'!$K$18:$K$21,S20),"")</f>
        <v/>
      </c>
      <c r="AD20" s="97" t="str">
        <f>IF(T20,INDEX('CostModel Coef'!$L$18:$L$21,S20),"")</f>
        <v/>
      </c>
      <c r="AE20" s="110"/>
      <c r="AF20" s="81"/>
    </row>
    <row r="21" spans="1:32" s="49" customFormat="1">
      <c r="A21" s="107" t="s">
        <v>441</v>
      </c>
      <c r="B21" s="107" t="s">
        <v>442</v>
      </c>
      <c r="C21" s="110"/>
      <c r="D21" s="110" t="s">
        <v>425</v>
      </c>
      <c r="E21" s="110" t="s">
        <v>405</v>
      </c>
      <c r="F21" s="110" t="s">
        <v>406</v>
      </c>
      <c r="G21" s="110"/>
      <c r="H21" s="110">
        <v>300</v>
      </c>
      <c r="I21" s="110">
        <v>94</v>
      </c>
      <c r="J21" s="110" t="s">
        <v>122</v>
      </c>
      <c r="K21" s="110"/>
      <c r="L21" s="110"/>
      <c r="M21" s="110" t="s">
        <v>407</v>
      </c>
      <c r="N21" s="110" t="s">
        <v>435</v>
      </c>
      <c r="O21" s="110" t="s">
        <v>443</v>
      </c>
      <c r="P21" s="110"/>
      <c r="Q21" s="76" t="s">
        <v>24</v>
      </c>
      <c r="R21" s="100" t="b">
        <v>0</v>
      </c>
      <c r="S21" s="138">
        <f>IFERROR(MATCH(Q21,'CostModel Coef'!$C$18:$C$21,0),0)</f>
        <v>3</v>
      </c>
      <c r="T21" s="110" t="b">
        <f t="shared" si="0"/>
        <v>0</v>
      </c>
      <c r="U21" s="110"/>
      <c r="V21" s="82" t="str">
        <f>IF(T21,INDEX('CostModel Coef'!$D$18:$D$21,S21)+INDEX('CostModel Coef'!$E$18:$E$21,S21)+INDEX('CostModel Coef'!$G$18:$G$21,S21)*I21/100,"")</f>
        <v/>
      </c>
      <c r="W21" s="34" t="str">
        <f>IF(T21,INDEX('CostModel Coef'!$J$18:$J$21,S21),"")</f>
        <v/>
      </c>
      <c r="X21" s="99" t="str">
        <f>IF(T21,INDEX('CostModel Coef'!$M$18:$M$21,S21),"")</f>
        <v/>
      </c>
      <c r="Y21" s="110"/>
      <c r="Z21" s="110"/>
      <c r="AA21" s="44" t="str">
        <f t="shared" si="1"/>
        <v/>
      </c>
      <c r="AB21" s="44" t="str">
        <f t="shared" si="2"/>
        <v/>
      </c>
      <c r="AC21" s="97" t="str">
        <f>IF(T21,INDEX('CostModel Coef'!$K$18:$K$21,S21),"")</f>
        <v/>
      </c>
      <c r="AD21" s="97" t="str">
        <f>IF(T21,INDEX('CostModel Coef'!$L$18:$L$21,S21),"")</f>
        <v/>
      </c>
      <c r="AE21" s="110"/>
      <c r="AF21" s="81"/>
    </row>
    <row r="22" spans="1:32" s="49" customFormat="1">
      <c r="A22" s="107" t="s">
        <v>444</v>
      </c>
      <c r="B22" s="107" t="s">
        <v>442</v>
      </c>
      <c r="C22" s="110"/>
      <c r="D22" s="110" t="s">
        <v>425</v>
      </c>
      <c r="E22" s="110" t="s">
        <v>405</v>
      </c>
      <c r="F22" s="110" t="s">
        <v>406</v>
      </c>
      <c r="G22" s="110"/>
      <c r="H22" s="110">
        <v>300</v>
      </c>
      <c r="I22" s="110">
        <v>94</v>
      </c>
      <c r="J22" s="110" t="s">
        <v>122</v>
      </c>
      <c r="K22" s="110"/>
      <c r="L22" s="110"/>
      <c r="M22" s="110" t="s">
        <v>407</v>
      </c>
      <c r="N22" s="110" t="s">
        <v>435</v>
      </c>
      <c r="O22" s="110" t="s">
        <v>445</v>
      </c>
      <c r="P22" s="110"/>
      <c r="Q22" s="76" t="s">
        <v>24</v>
      </c>
      <c r="R22" s="100" t="b">
        <v>0</v>
      </c>
      <c r="S22" s="138">
        <f>IFERROR(MATCH(Q22,'CostModel Coef'!$C$18:$C$21,0),0)</f>
        <v>3</v>
      </c>
      <c r="T22" s="100" t="b">
        <v>0</v>
      </c>
      <c r="U22" s="110"/>
      <c r="V22" s="82" t="str">
        <f>IF(T22,INDEX('CostModel Coef'!$D$18:$D$21,S22)+INDEX('CostModel Coef'!$E$18:$E$21,S22)+INDEX('CostModel Coef'!$G$18:$G$21,S22)*I22/100,"")</f>
        <v/>
      </c>
      <c r="W22" s="34" t="str">
        <f>IF(T22,INDEX('CostModel Coef'!$J$18:$J$21,S22),"")</f>
        <v/>
      </c>
      <c r="X22" s="99" t="str">
        <f>IF(T22,INDEX('CostModel Coef'!$M$18:$M$21,S22),"")</f>
        <v/>
      </c>
      <c r="Y22" s="110"/>
      <c r="Z22" s="110"/>
      <c r="AA22" s="44" t="str">
        <f t="shared" si="1"/>
        <v/>
      </c>
      <c r="AB22" s="44" t="str">
        <f t="shared" si="2"/>
        <v/>
      </c>
      <c r="AC22" s="97" t="str">
        <f>IF(T22,INDEX('CostModel Coef'!$K$18:$K$21,S22),"")</f>
        <v/>
      </c>
      <c r="AD22" s="97" t="str">
        <f>IF(T22,INDEX('CostModel Coef'!$L$18:$L$21,S22),"")</f>
        <v/>
      </c>
      <c r="AE22" s="110"/>
      <c r="AF22" s="81"/>
    </row>
    <row r="23" spans="1:32" s="49" customFormat="1">
      <c r="A23" s="107" t="s">
        <v>446</v>
      </c>
      <c r="B23" s="107" t="s">
        <v>442</v>
      </c>
      <c r="C23" s="110"/>
      <c r="D23" s="110" t="s">
        <v>425</v>
      </c>
      <c r="E23" s="110" t="s">
        <v>405</v>
      </c>
      <c r="F23" s="110" t="s">
        <v>406</v>
      </c>
      <c r="G23" s="110"/>
      <c r="H23" s="110">
        <v>300</v>
      </c>
      <c r="I23" s="110">
        <v>94</v>
      </c>
      <c r="J23" s="110" t="s">
        <v>122</v>
      </c>
      <c r="K23" s="110"/>
      <c r="L23" s="110"/>
      <c r="M23" s="110" t="s">
        <v>407</v>
      </c>
      <c r="N23" s="110" t="s">
        <v>435</v>
      </c>
      <c r="O23" s="110" t="s">
        <v>447</v>
      </c>
      <c r="P23" s="110"/>
      <c r="Q23" s="76" t="s">
        <v>24</v>
      </c>
      <c r="R23" s="100" t="b">
        <v>0</v>
      </c>
      <c r="S23" s="138">
        <f>IFERROR(MATCH(Q23,'CostModel Coef'!$C$18:$C$21,0),0)</f>
        <v>3</v>
      </c>
      <c r="T23" s="100" t="b">
        <v>0</v>
      </c>
      <c r="U23" s="110"/>
      <c r="V23" s="82" t="str">
        <f>IF(T23,INDEX('CostModel Coef'!$D$18:$D$21,S23)+INDEX('CostModel Coef'!$E$18:$E$21,S23)+INDEX('CostModel Coef'!$G$18:$G$21,S23)*I23/100,"")</f>
        <v/>
      </c>
      <c r="W23" s="34" t="str">
        <f>IF(T23,INDEX('CostModel Coef'!$J$18:$J$21,S23),"")</f>
        <v/>
      </c>
      <c r="X23" s="99" t="str">
        <f>IF(T23,INDEX('CostModel Coef'!$M$18:$M$21,S23),"")</f>
        <v/>
      </c>
      <c r="Y23" s="110"/>
      <c r="Z23" s="110"/>
      <c r="AA23" s="44" t="str">
        <f t="shared" si="1"/>
        <v/>
      </c>
      <c r="AB23" s="44" t="str">
        <f t="shared" si="2"/>
        <v/>
      </c>
      <c r="AC23" s="97" t="str">
        <f>IF(T23,INDEX('CostModel Coef'!$K$18:$K$21,S23),"")</f>
        <v/>
      </c>
      <c r="AD23" s="97" t="str">
        <f>IF(T23,INDEX('CostModel Coef'!$L$18:$L$21,S23),"")</f>
        <v/>
      </c>
      <c r="AE23" s="110"/>
      <c r="AF23" s="81"/>
    </row>
    <row r="24" spans="1:32" s="49" customFormat="1">
      <c r="A24" s="107" t="s">
        <v>448</v>
      </c>
      <c r="B24" s="107" t="s">
        <v>448</v>
      </c>
      <c r="C24" s="110"/>
      <c r="D24" s="110" t="s">
        <v>425</v>
      </c>
      <c r="E24" s="110" t="s">
        <v>405</v>
      </c>
      <c r="F24" s="110" t="s">
        <v>411</v>
      </c>
      <c r="G24" s="110">
        <v>300</v>
      </c>
      <c r="H24" s="110">
        <v>2500</v>
      </c>
      <c r="I24" s="110">
        <v>83</v>
      </c>
      <c r="J24" s="110" t="s">
        <v>123</v>
      </c>
      <c r="K24" s="110"/>
      <c r="L24" s="110"/>
      <c r="M24" s="110" t="s">
        <v>407</v>
      </c>
      <c r="N24" s="110" t="s">
        <v>408</v>
      </c>
      <c r="O24" s="110" t="s">
        <v>449</v>
      </c>
      <c r="P24" s="110"/>
      <c r="Q24" s="76" t="s">
        <v>22</v>
      </c>
      <c r="R24" s="110" t="b">
        <f>IFERROR(AND(I24/100&gt;=INDEX('CostModel Coef'!$H$18:$H$21,S24),I24/100&lt;=INDEX('CostModel Coef'!$I$18:$I$21,S24)),FALSE)</f>
        <v>1</v>
      </c>
      <c r="S24" s="138">
        <f>IFERROR(MATCH(Q24,'CostModel Coef'!$C$18:$C$21,0),0)</f>
        <v>2</v>
      </c>
      <c r="T24" s="110" t="b">
        <f t="shared" si="0"/>
        <v>1</v>
      </c>
      <c r="U24" s="110"/>
      <c r="V24" s="82">
        <f>IF(T24,INDEX('CostModel Coef'!$D$18:$D$21,S24)+INDEX('CostModel Coef'!$E$18:$E$21,S24)+INDEX('CostModel Coef'!$G$18:$G$21,S24)*I24/100,"")</f>
        <v>-324.71674095996423</v>
      </c>
      <c r="W24" s="34">
        <f>IF(T24,INDEX('CostModel Coef'!$J$18:$J$21,S24),"")</f>
        <v>13.535299999999999</v>
      </c>
      <c r="X24" s="99">
        <f>IF(T24,INDEX('CostModel Coef'!$M$18:$M$21,S24),"")</f>
        <v>0.3</v>
      </c>
      <c r="Y24" s="110"/>
      <c r="Z24" s="110"/>
      <c r="AA24" s="44">
        <f t="shared" si="1"/>
        <v>-422</v>
      </c>
      <c r="AB24" s="44">
        <f t="shared" si="2"/>
        <v>17.600000000000001</v>
      </c>
      <c r="AC24" s="97">
        <f>IF(T24,INDEX('CostModel Coef'!$K$18:$K$21,S24),"")</f>
        <v>300</v>
      </c>
      <c r="AD24" s="97">
        <f>IF(T24,INDEX('CostModel Coef'!$L$18:$L$21,S24),"")</f>
        <v>4000</v>
      </c>
      <c r="AE24" s="110"/>
      <c r="AF24" s="81"/>
    </row>
    <row r="25" spans="1:32" s="49" customFormat="1">
      <c r="A25" s="107" t="s">
        <v>450</v>
      </c>
      <c r="B25" s="107" t="s">
        <v>450</v>
      </c>
      <c r="C25" s="110"/>
      <c r="D25" s="110" t="s">
        <v>425</v>
      </c>
      <c r="E25" s="110" t="s">
        <v>405</v>
      </c>
      <c r="F25" s="110" t="s">
        <v>411</v>
      </c>
      <c r="G25" s="110">
        <v>300</v>
      </c>
      <c r="H25" s="110">
        <v>2500</v>
      </c>
      <c r="I25" s="110">
        <v>85</v>
      </c>
      <c r="J25" s="110" t="s">
        <v>123</v>
      </c>
      <c r="K25" s="110"/>
      <c r="L25" s="110"/>
      <c r="M25" s="110" t="s">
        <v>407</v>
      </c>
      <c r="N25" s="110" t="s">
        <v>408</v>
      </c>
      <c r="O25" s="110" t="s">
        <v>451</v>
      </c>
      <c r="P25" s="110"/>
      <c r="Q25" s="76" t="s">
        <v>22</v>
      </c>
      <c r="R25" s="110" t="b">
        <f>IFERROR(AND(I25/100&gt;=INDEX('CostModel Coef'!$H$18:$H$21,S25),I25/100&lt;=INDEX('CostModel Coef'!$I$18:$I$21,S25)),FALSE)</f>
        <v>1</v>
      </c>
      <c r="S25" s="138">
        <f>IFERROR(MATCH(Q25,'CostModel Coef'!$C$18:$C$21,0),0)</f>
        <v>2</v>
      </c>
      <c r="T25" s="110" t="b">
        <f t="shared" si="0"/>
        <v>1</v>
      </c>
      <c r="U25" s="110"/>
      <c r="V25" s="82">
        <f>IF(T25,INDEX('CostModel Coef'!$D$18:$D$21,S25)+INDEX('CostModel Coef'!$E$18:$E$21,S25)+INDEX('CostModel Coef'!$G$18:$G$21,S25)*I25/100,"")</f>
        <v>9785.1465910400148</v>
      </c>
      <c r="W25" s="34">
        <f>IF(T25,INDEX('CostModel Coef'!$J$18:$J$21,S25),"")</f>
        <v>13.535299999999999</v>
      </c>
      <c r="X25" s="99">
        <f>IF(T25,INDEX('CostModel Coef'!$M$18:$M$21,S25),"")</f>
        <v>0.3</v>
      </c>
      <c r="Y25" s="110"/>
      <c r="Z25" s="110"/>
      <c r="AA25" s="44">
        <f t="shared" si="1"/>
        <v>12721</v>
      </c>
      <c r="AB25" s="44">
        <f t="shared" si="2"/>
        <v>17.600000000000001</v>
      </c>
      <c r="AC25" s="97">
        <f>IF(T25,INDEX('CostModel Coef'!$K$18:$K$21,S25),"")</f>
        <v>300</v>
      </c>
      <c r="AD25" s="97">
        <f>IF(T25,INDEX('CostModel Coef'!$L$18:$L$21,S25),"")</f>
        <v>4000</v>
      </c>
      <c r="AE25" s="110"/>
      <c r="AF25" s="81"/>
    </row>
    <row r="26" spans="1:32" s="49" customFormat="1">
      <c r="A26" s="107" t="s">
        <v>452</v>
      </c>
      <c r="B26" s="107" t="s">
        <v>453</v>
      </c>
      <c r="C26" s="110"/>
      <c r="D26" s="110" t="s">
        <v>425</v>
      </c>
      <c r="E26" s="110" t="s">
        <v>405</v>
      </c>
      <c r="F26" s="110" t="s">
        <v>411</v>
      </c>
      <c r="G26" s="110">
        <v>300</v>
      </c>
      <c r="H26" s="110">
        <v>2500</v>
      </c>
      <c r="I26" s="110">
        <v>90</v>
      </c>
      <c r="J26" s="110" t="s">
        <v>123</v>
      </c>
      <c r="K26" s="110"/>
      <c r="L26" s="110"/>
      <c r="M26" s="110" t="s">
        <v>407</v>
      </c>
      <c r="N26" s="110" t="s">
        <v>435</v>
      </c>
      <c r="O26" s="110" t="s">
        <v>454</v>
      </c>
      <c r="P26" s="110"/>
      <c r="Q26" s="76" t="s">
        <v>24</v>
      </c>
      <c r="R26" s="110" t="b">
        <f>IFERROR(AND(I26/100&gt;=INDEX('CostModel Coef'!$H$18:$H$21,S26),I26/100&lt;=INDEX('CostModel Coef'!$I$18:$I$21,S26)),FALSE)</f>
        <v>1</v>
      </c>
      <c r="S26" s="138">
        <f>IFERROR(MATCH(Q26,'CostModel Coef'!$C$18:$C$21,0),0)</f>
        <v>3</v>
      </c>
      <c r="T26" s="110" t="b">
        <f t="shared" si="0"/>
        <v>1</v>
      </c>
      <c r="U26" s="110"/>
      <c r="V26" s="82">
        <f>IF(T26,INDEX('CostModel Coef'!$D$18:$D$21,S26)+INDEX('CostModel Coef'!$E$18:$E$21,S26)+INDEX('CostModel Coef'!$G$18:$G$21,S26)*I26/100,"")</f>
        <v>-459.82176429999527</v>
      </c>
      <c r="W26" s="34">
        <f>IF(T26,INDEX('CostModel Coef'!$J$18:$J$21,S26),"")</f>
        <v>9.8653999999999993</v>
      </c>
      <c r="X26" s="99">
        <f>IF(T26,INDEX('CostModel Coef'!$M$18:$M$21,S26),"")</f>
        <v>0.3</v>
      </c>
      <c r="Y26" s="110"/>
      <c r="Z26" s="110"/>
      <c r="AA26" s="44">
        <f t="shared" si="1"/>
        <v>-598</v>
      </c>
      <c r="AB26" s="44">
        <f t="shared" si="2"/>
        <v>12.83</v>
      </c>
      <c r="AC26" s="97">
        <f>IF(T26,INDEX('CostModel Coef'!$K$18:$K$21,S26),"")</f>
        <v>300</v>
      </c>
      <c r="AD26" s="97">
        <f>IF(T26,INDEX('CostModel Coef'!$L$18:$L$21,S26),"")</f>
        <v>4000</v>
      </c>
      <c r="AE26" s="110"/>
      <c r="AF26" s="81"/>
    </row>
    <row r="27" spans="1:32" s="49" customFormat="1">
      <c r="A27" s="107" t="s">
        <v>455</v>
      </c>
      <c r="B27" s="107" t="s">
        <v>453</v>
      </c>
      <c r="C27" s="110"/>
      <c r="D27" s="110" t="s">
        <v>425</v>
      </c>
      <c r="E27" s="110" t="s">
        <v>405</v>
      </c>
      <c r="F27" s="110" t="s">
        <v>411</v>
      </c>
      <c r="G27" s="110">
        <v>300</v>
      </c>
      <c r="H27" s="110">
        <v>2500</v>
      </c>
      <c r="I27" s="110">
        <v>90</v>
      </c>
      <c r="J27" s="110" t="s">
        <v>123</v>
      </c>
      <c r="K27" s="110"/>
      <c r="L27" s="110"/>
      <c r="M27" s="110" t="s">
        <v>407</v>
      </c>
      <c r="N27" s="110" t="s">
        <v>435</v>
      </c>
      <c r="O27" s="110" t="s">
        <v>456</v>
      </c>
      <c r="P27" s="110"/>
      <c r="Q27" s="76" t="s">
        <v>24</v>
      </c>
      <c r="R27" s="110" t="b">
        <f>IFERROR(AND(I27/100&gt;=INDEX('CostModel Coef'!$H$18:$H$21,S27),I27/100&lt;=INDEX('CostModel Coef'!$I$18:$I$21,S27)),FALSE)</f>
        <v>1</v>
      </c>
      <c r="S27" s="138">
        <f>IFERROR(MATCH(Q27,'CostModel Coef'!$C$18:$C$21,0),0)</f>
        <v>3</v>
      </c>
      <c r="T27" s="100" t="b">
        <v>0</v>
      </c>
      <c r="U27" s="110"/>
      <c r="V27" s="82" t="str">
        <f>IF(T27,INDEX('CostModel Coef'!$D$18:$D$21,S27)+INDEX('CostModel Coef'!$E$18:$E$21,S27)+INDEX('CostModel Coef'!$G$18:$G$21,S27)*I27/100,"")</f>
        <v/>
      </c>
      <c r="W27" s="34" t="str">
        <f>IF(T27,INDEX('CostModel Coef'!$J$18:$J$21,S27),"")</f>
        <v/>
      </c>
      <c r="X27" s="99" t="str">
        <f>IF(T27,INDEX('CostModel Coef'!$M$18:$M$21,S27),"")</f>
        <v/>
      </c>
      <c r="Y27" s="110"/>
      <c r="Z27" s="110"/>
      <c r="AA27" s="44" t="str">
        <f t="shared" si="1"/>
        <v/>
      </c>
      <c r="AB27" s="44" t="str">
        <f t="shared" si="2"/>
        <v/>
      </c>
      <c r="AC27" s="97" t="str">
        <f>IF(T27,INDEX('CostModel Coef'!$K$18:$K$21,S27),"")</f>
        <v/>
      </c>
      <c r="AD27" s="97" t="str">
        <f>IF(T27,INDEX('CostModel Coef'!$L$18:$L$21,S27),"")</f>
        <v/>
      </c>
      <c r="AE27" s="110"/>
      <c r="AF27" s="81"/>
    </row>
    <row r="28" spans="1:32" s="49" customFormat="1">
      <c r="A28" s="107" t="s">
        <v>457</v>
      </c>
      <c r="B28" s="107" t="s">
        <v>453</v>
      </c>
      <c r="C28" s="110"/>
      <c r="D28" s="110" t="s">
        <v>425</v>
      </c>
      <c r="E28" s="110" t="s">
        <v>405</v>
      </c>
      <c r="F28" s="110" t="s">
        <v>411</v>
      </c>
      <c r="G28" s="110">
        <v>300</v>
      </c>
      <c r="H28" s="110">
        <v>2500</v>
      </c>
      <c r="I28" s="110">
        <v>90</v>
      </c>
      <c r="J28" s="110" t="s">
        <v>123</v>
      </c>
      <c r="K28" s="110"/>
      <c r="L28" s="110"/>
      <c r="M28" s="110" t="s">
        <v>407</v>
      </c>
      <c r="N28" s="110" t="s">
        <v>435</v>
      </c>
      <c r="O28" s="110" t="s">
        <v>458</v>
      </c>
      <c r="P28" s="110"/>
      <c r="Q28" s="76" t="s">
        <v>24</v>
      </c>
      <c r="R28" s="110" t="b">
        <f>IFERROR(AND(I28/100&gt;=INDEX('CostModel Coef'!$H$18:$H$21,S28),I28/100&lt;=INDEX('CostModel Coef'!$I$18:$I$21,S28)),FALSE)</f>
        <v>1</v>
      </c>
      <c r="S28" s="138">
        <f>IFERROR(MATCH(Q28,'CostModel Coef'!$C$18:$C$21,0),0)</f>
        <v>3</v>
      </c>
      <c r="T28" s="100" t="b">
        <v>0</v>
      </c>
      <c r="U28" s="110"/>
      <c r="V28" s="82" t="str">
        <f>IF(T28,INDEX('CostModel Coef'!$D$18:$D$21,S28)+INDEX('CostModel Coef'!$E$18:$E$21,S28)+INDEX('CostModel Coef'!$G$18:$G$21,S28)*I28/100,"")</f>
        <v/>
      </c>
      <c r="W28" s="34" t="str">
        <f>IF(T28,INDEX('CostModel Coef'!$J$18:$J$21,S28),"")</f>
        <v/>
      </c>
      <c r="X28" s="99" t="str">
        <f>IF(T28,INDEX('CostModel Coef'!$M$18:$M$21,S28),"")</f>
        <v/>
      </c>
      <c r="Y28" s="110"/>
      <c r="Z28" s="110"/>
      <c r="AA28" s="44" t="str">
        <f t="shared" si="1"/>
        <v/>
      </c>
      <c r="AB28" s="44" t="str">
        <f t="shared" si="2"/>
        <v/>
      </c>
      <c r="AC28" s="97" t="str">
        <f>IF(T28,INDEX('CostModel Coef'!$K$18:$K$21,S28),"")</f>
        <v/>
      </c>
      <c r="AD28" s="97" t="str">
        <f>IF(T28,INDEX('CostModel Coef'!$L$18:$L$21,S28),"")</f>
        <v/>
      </c>
      <c r="AE28" s="110"/>
      <c r="AF28" s="81"/>
    </row>
    <row r="29" spans="1:32" s="49" customFormat="1">
      <c r="A29" s="107" t="s">
        <v>459</v>
      </c>
      <c r="B29" s="107" t="s">
        <v>460</v>
      </c>
      <c r="C29" s="110"/>
      <c r="D29" s="110" t="s">
        <v>425</v>
      </c>
      <c r="E29" s="110" t="s">
        <v>405</v>
      </c>
      <c r="F29" s="110" t="s">
        <v>411</v>
      </c>
      <c r="G29" s="110">
        <v>300</v>
      </c>
      <c r="H29" s="110">
        <v>2500</v>
      </c>
      <c r="I29" s="110">
        <v>94</v>
      </c>
      <c r="J29" s="110" t="s">
        <v>123</v>
      </c>
      <c r="K29" s="110"/>
      <c r="L29" s="110"/>
      <c r="M29" s="110" t="s">
        <v>407</v>
      </c>
      <c r="N29" s="110" t="s">
        <v>435</v>
      </c>
      <c r="O29" s="110" t="s">
        <v>461</v>
      </c>
      <c r="P29" s="110"/>
      <c r="Q29" s="76" t="s">
        <v>24</v>
      </c>
      <c r="R29" s="110" t="b">
        <f>IFERROR(AND(I29/100&gt;=INDEX('CostModel Coef'!$H$18:$H$21,S29),I29/100&lt;=INDEX('CostModel Coef'!$I$18:$I$21,S29)),FALSE)</f>
        <v>1</v>
      </c>
      <c r="S29" s="138">
        <f>IFERROR(MATCH(Q29,'CostModel Coef'!$C$18:$C$21,0),0)</f>
        <v>3</v>
      </c>
      <c r="T29" s="110" t="b">
        <f t="shared" si="0"/>
        <v>1</v>
      </c>
      <c r="U29" s="110"/>
      <c r="V29" s="82">
        <f>IF(T29,INDEX('CostModel Coef'!$D$18:$D$21,S29)+INDEX('CostModel Coef'!$E$18:$E$21,S29)+INDEX('CostModel Coef'!$G$18:$G$21,S29)*I29/100,"")</f>
        <v>5283.7563277000008</v>
      </c>
      <c r="W29" s="34">
        <f>IF(T29,INDEX('CostModel Coef'!$J$18:$J$21,S29),"")</f>
        <v>9.8653999999999993</v>
      </c>
      <c r="X29" s="99">
        <f>IF(T29,INDEX('CostModel Coef'!$M$18:$M$21,S29),"")</f>
        <v>0.3</v>
      </c>
      <c r="Y29" s="110"/>
      <c r="Z29" s="110"/>
      <c r="AA29" s="44">
        <f t="shared" si="1"/>
        <v>6869</v>
      </c>
      <c r="AB29" s="44">
        <f t="shared" si="2"/>
        <v>12.83</v>
      </c>
      <c r="AC29" s="97">
        <f>IF(T29,INDEX('CostModel Coef'!$K$18:$K$21,S29),"")</f>
        <v>300</v>
      </c>
      <c r="AD29" s="97">
        <f>IF(T29,INDEX('CostModel Coef'!$L$18:$L$21,S29),"")</f>
        <v>4000</v>
      </c>
      <c r="AE29" s="110"/>
      <c r="AF29" s="81"/>
    </row>
    <row r="30" spans="1:32" s="49" customFormat="1">
      <c r="A30" s="107" t="s">
        <v>462</v>
      </c>
      <c r="B30" s="107" t="s">
        <v>460</v>
      </c>
      <c r="C30" s="110"/>
      <c r="D30" s="110" t="s">
        <v>425</v>
      </c>
      <c r="E30" s="110" t="s">
        <v>405</v>
      </c>
      <c r="F30" s="110" t="s">
        <v>411</v>
      </c>
      <c r="G30" s="110">
        <v>300</v>
      </c>
      <c r="H30" s="110">
        <v>2500</v>
      </c>
      <c r="I30" s="110">
        <v>94</v>
      </c>
      <c r="J30" s="110" t="s">
        <v>123</v>
      </c>
      <c r="K30" s="110"/>
      <c r="L30" s="110"/>
      <c r="M30" s="110" t="s">
        <v>407</v>
      </c>
      <c r="N30" s="110" t="s">
        <v>435</v>
      </c>
      <c r="O30" s="110" t="s">
        <v>463</v>
      </c>
      <c r="P30" s="110"/>
      <c r="Q30" s="76" t="s">
        <v>24</v>
      </c>
      <c r="R30" s="110" t="b">
        <f>IFERROR(AND(I30/100&gt;=INDEX('CostModel Coef'!$H$18:$H$21,S30),I30/100&lt;=INDEX('CostModel Coef'!$I$18:$I$21,S30)),FALSE)</f>
        <v>1</v>
      </c>
      <c r="S30" s="138">
        <f>IFERROR(MATCH(Q30,'CostModel Coef'!$C$18:$C$21,0),0)</f>
        <v>3</v>
      </c>
      <c r="T30" s="100" t="b">
        <v>0</v>
      </c>
      <c r="U30" s="110"/>
      <c r="V30" s="82" t="str">
        <f>IF(T30,INDEX('CostModel Coef'!$D$18:$D$21,S30)+INDEX('CostModel Coef'!$E$18:$E$21,S30)+INDEX('CostModel Coef'!$G$18:$G$21,S30)*I30/100,"")</f>
        <v/>
      </c>
      <c r="W30" s="34" t="str">
        <f>IF(T30,INDEX('CostModel Coef'!$J$18:$J$21,S30),"")</f>
        <v/>
      </c>
      <c r="X30" s="99" t="str">
        <f>IF(T30,INDEX('CostModel Coef'!$M$18:$M$21,S30),"")</f>
        <v/>
      </c>
      <c r="Y30" s="110"/>
      <c r="Z30" s="110"/>
      <c r="AA30" s="44" t="str">
        <f t="shared" si="1"/>
        <v/>
      </c>
      <c r="AB30" s="44" t="str">
        <f t="shared" si="2"/>
        <v/>
      </c>
      <c r="AC30" s="97" t="str">
        <f>IF(T30,INDEX('CostModel Coef'!$K$18:$K$21,S30),"")</f>
        <v/>
      </c>
      <c r="AD30" s="97" t="str">
        <f>IF(T30,INDEX('CostModel Coef'!$L$18:$L$21,S30),"")</f>
        <v/>
      </c>
      <c r="AE30" s="110"/>
      <c r="AF30" s="81"/>
    </row>
    <row r="31" spans="1:32" s="49" customFormat="1">
      <c r="A31" s="107" t="s">
        <v>464</v>
      </c>
      <c r="B31" s="107" t="s">
        <v>460</v>
      </c>
      <c r="C31" s="110"/>
      <c r="D31" s="110" t="s">
        <v>425</v>
      </c>
      <c r="E31" s="110" t="s">
        <v>405</v>
      </c>
      <c r="F31" s="110" t="s">
        <v>411</v>
      </c>
      <c r="G31" s="110">
        <v>300</v>
      </c>
      <c r="H31" s="110">
        <v>2500</v>
      </c>
      <c r="I31" s="110">
        <v>94</v>
      </c>
      <c r="J31" s="110" t="s">
        <v>123</v>
      </c>
      <c r="K31" s="110"/>
      <c r="L31" s="110"/>
      <c r="M31" s="110" t="s">
        <v>407</v>
      </c>
      <c r="N31" s="110" t="s">
        <v>435</v>
      </c>
      <c r="O31" s="110" t="s">
        <v>465</v>
      </c>
      <c r="P31" s="110"/>
      <c r="Q31" s="76" t="s">
        <v>24</v>
      </c>
      <c r="R31" s="110" t="b">
        <f>IFERROR(AND(I31/100&gt;=INDEX('CostModel Coef'!$H$18:$H$21,S31),I31/100&lt;=INDEX('CostModel Coef'!$I$18:$I$21,S31)),FALSE)</f>
        <v>1</v>
      </c>
      <c r="S31" s="138">
        <f>IFERROR(MATCH(Q31,'CostModel Coef'!$C$18:$C$21,0),0)</f>
        <v>3</v>
      </c>
      <c r="T31" s="100" t="b">
        <v>0</v>
      </c>
      <c r="U31" s="110"/>
      <c r="V31" s="82" t="str">
        <f>IF(T31,INDEX('CostModel Coef'!$D$18:$D$21,S31)+INDEX('CostModel Coef'!$E$18:$E$21,S31)+INDEX('CostModel Coef'!$G$18:$G$21,S31)*I31/100,"")</f>
        <v/>
      </c>
      <c r="W31" s="34" t="str">
        <f>IF(T31,INDEX('CostModel Coef'!$J$18:$J$21,S31),"")</f>
        <v/>
      </c>
      <c r="X31" s="99" t="str">
        <f>IF(T31,INDEX('CostModel Coef'!$M$18:$M$21,S31),"")</f>
        <v/>
      </c>
      <c r="Y31" s="110"/>
      <c r="Z31" s="110"/>
      <c r="AA31" s="44" t="str">
        <f t="shared" si="1"/>
        <v/>
      </c>
      <c r="AB31" s="44" t="str">
        <f t="shared" si="2"/>
        <v/>
      </c>
      <c r="AC31" s="97" t="str">
        <f>IF(T31,INDEX('CostModel Coef'!$K$18:$K$21,S31),"")</f>
        <v/>
      </c>
      <c r="AD31" s="97" t="str">
        <f>IF(T31,INDEX('CostModel Coef'!$L$18:$L$21,S31),"")</f>
        <v/>
      </c>
      <c r="AE31" s="110"/>
      <c r="AF31" s="81"/>
    </row>
    <row r="32" spans="1:32" s="49" customFormat="1">
      <c r="A32" s="107" t="s">
        <v>466</v>
      </c>
      <c r="B32" s="107" t="s">
        <v>466</v>
      </c>
      <c r="C32" s="110"/>
      <c r="D32" s="110" t="s">
        <v>425</v>
      </c>
      <c r="E32" s="110" t="s">
        <v>405</v>
      </c>
      <c r="F32" s="110" t="s">
        <v>414</v>
      </c>
      <c r="G32" s="110">
        <v>2500</v>
      </c>
      <c r="H32" s="110"/>
      <c r="I32" s="110">
        <v>83</v>
      </c>
      <c r="J32" s="110" t="s">
        <v>123</v>
      </c>
      <c r="K32" s="110">
        <v>85</v>
      </c>
      <c r="L32" s="110" t="s">
        <v>415</v>
      </c>
      <c r="M32" s="110" t="s">
        <v>407</v>
      </c>
      <c r="N32" s="110" t="s">
        <v>408</v>
      </c>
      <c r="O32" s="110" t="s">
        <v>467</v>
      </c>
      <c r="P32" s="110"/>
      <c r="Q32" s="76" t="s">
        <v>22</v>
      </c>
      <c r="R32" s="110" t="b">
        <f>IFERROR(AND(I32/100&gt;=INDEX('CostModel Coef'!$H$18:$H$21,S32),I32/100&lt;=INDEX('CostModel Coef'!$I$18:$I$21,S32)),FALSE)</f>
        <v>1</v>
      </c>
      <c r="S32" s="138">
        <f>IFERROR(MATCH(Q32,'CostModel Coef'!$C$18:$C$21,0),0)</f>
        <v>2</v>
      </c>
      <c r="T32" s="110" t="b">
        <f t="shared" si="0"/>
        <v>1</v>
      </c>
      <c r="U32" s="110"/>
      <c r="V32" s="82">
        <f>IF(T32,INDEX('CostModel Coef'!$D$18:$D$21,S32)+INDEX('CostModel Coef'!$E$18:$E$21,S32)+INDEX('CostModel Coef'!$G$18:$G$21,S32)*I32/100,"")</f>
        <v>-324.71674095996423</v>
      </c>
      <c r="W32" s="34">
        <f>IF(T32,INDEX('CostModel Coef'!$J$18:$J$21,S32),"")</f>
        <v>13.535299999999999</v>
      </c>
      <c r="X32" s="99">
        <f>IF(T32,INDEX('CostModel Coef'!$M$18:$M$21,S32),"")</f>
        <v>0.3</v>
      </c>
      <c r="Y32" s="110"/>
      <c r="Z32" s="110"/>
      <c r="AA32" s="44">
        <f t="shared" si="1"/>
        <v>-422</v>
      </c>
      <c r="AB32" s="44">
        <f t="shared" si="2"/>
        <v>17.600000000000001</v>
      </c>
      <c r="AC32" s="97">
        <f>IF(T32,INDEX('CostModel Coef'!$K$18:$K$21,S32),"")</f>
        <v>300</v>
      </c>
      <c r="AD32" s="97">
        <f>IF(T32,INDEX('CostModel Coef'!$L$18:$L$21,S32),"")</f>
        <v>4000</v>
      </c>
      <c r="AE32" s="110"/>
      <c r="AF32" s="81"/>
    </row>
    <row r="33" spans="1:32" s="49" customFormat="1">
      <c r="A33" s="107" t="s">
        <v>468</v>
      </c>
      <c r="B33" s="107" t="s">
        <v>468</v>
      </c>
      <c r="C33" s="110"/>
      <c r="D33" s="110" t="s">
        <v>425</v>
      </c>
      <c r="E33" s="110" t="s">
        <v>405</v>
      </c>
      <c r="F33" s="110" t="s">
        <v>414</v>
      </c>
      <c r="G33" s="110">
        <v>2500</v>
      </c>
      <c r="H33" s="110"/>
      <c r="I33" s="110">
        <v>85</v>
      </c>
      <c r="J33" s="110" t="s">
        <v>123</v>
      </c>
      <c r="K33" s="110">
        <v>87</v>
      </c>
      <c r="L33" s="110" t="s">
        <v>415</v>
      </c>
      <c r="M33" s="110" t="s">
        <v>407</v>
      </c>
      <c r="N33" s="110" t="s">
        <v>408</v>
      </c>
      <c r="O33" s="110" t="s">
        <v>469</v>
      </c>
      <c r="P33" s="110"/>
      <c r="Q33" s="76" t="s">
        <v>22</v>
      </c>
      <c r="R33" s="110" t="b">
        <f>IFERROR(AND(I33/100&gt;=INDEX('CostModel Coef'!$H$18:$H$21,S33),I33/100&lt;=INDEX('CostModel Coef'!$I$18:$I$21,S33)),FALSE)</f>
        <v>1</v>
      </c>
      <c r="S33" s="138">
        <f>IFERROR(MATCH(Q33,'CostModel Coef'!$C$18:$C$21,0),0)</f>
        <v>2</v>
      </c>
      <c r="T33" s="110" t="b">
        <f t="shared" si="0"/>
        <v>1</v>
      </c>
      <c r="U33" s="110"/>
      <c r="V33" s="82">
        <f>IF(T33,INDEX('CostModel Coef'!$D$18:$D$21,S33)+INDEX('CostModel Coef'!$E$18:$E$21,S33)+INDEX('CostModel Coef'!$G$18:$G$21,S33)*I33/100,"")</f>
        <v>9785.1465910400148</v>
      </c>
      <c r="W33" s="34">
        <f>IF(T33,INDEX('CostModel Coef'!$J$18:$J$21,S33),"")</f>
        <v>13.535299999999999</v>
      </c>
      <c r="X33" s="99">
        <f>IF(T33,INDEX('CostModel Coef'!$M$18:$M$21,S33),"")</f>
        <v>0.3</v>
      </c>
      <c r="Y33" s="110"/>
      <c r="Z33" s="110"/>
      <c r="AA33" s="44">
        <f t="shared" si="1"/>
        <v>12721</v>
      </c>
      <c r="AB33" s="44">
        <f t="shared" si="2"/>
        <v>17.600000000000001</v>
      </c>
      <c r="AC33" s="97">
        <f>IF(T33,INDEX('CostModel Coef'!$K$18:$K$21,S33),"")</f>
        <v>300</v>
      </c>
      <c r="AD33" s="97">
        <f>IF(T33,INDEX('CostModel Coef'!$L$18:$L$21,S33),"")</f>
        <v>4000</v>
      </c>
      <c r="AE33" s="110"/>
      <c r="AF33" s="81"/>
    </row>
    <row r="34" spans="1:32" s="49" customFormat="1">
      <c r="A34" s="107" t="s">
        <v>470</v>
      </c>
      <c r="B34" s="107" t="s">
        <v>471</v>
      </c>
      <c r="C34" s="110"/>
      <c r="D34" s="110" t="s">
        <v>425</v>
      </c>
      <c r="E34" s="110" t="s">
        <v>405</v>
      </c>
      <c r="F34" s="110" t="s">
        <v>414</v>
      </c>
      <c r="G34" s="110">
        <v>2500</v>
      </c>
      <c r="H34" s="110"/>
      <c r="I34" s="110">
        <v>90</v>
      </c>
      <c r="J34" s="110" t="s">
        <v>123</v>
      </c>
      <c r="K34" s="110"/>
      <c r="L34" s="110" t="s">
        <v>415</v>
      </c>
      <c r="M34" s="110" t="s">
        <v>407</v>
      </c>
      <c r="N34" s="110" t="s">
        <v>435</v>
      </c>
      <c r="O34" s="110" t="s">
        <v>472</v>
      </c>
      <c r="P34" s="110"/>
      <c r="Q34" s="76" t="s">
        <v>24</v>
      </c>
      <c r="R34" s="110" t="b">
        <f>IFERROR(AND(I34/100&gt;=INDEX('CostModel Coef'!$H$18:$H$21,S34),I34/100&lt;=INDEX('CostModel Coef'!$I$18:$I$21,S34)),FALSE)</f>
        <v>1</v>
      </c>
      <c r="S34" s="138">
        <f>IFERROR(MATCH(Q34,'CostModel Coef'!$C$18:$C$21,0),0)</f>
        <v>3</v>
      </c>
      <c r="T34" s="110" t="b">
        <f t="shared" si="0"/>
        <v>1</v>
      </c>
      <c r="U34" s="110"/>
      <c r="V34" s="82">
        <f>IF(T34,INDEX('CostModel Coef'!$D$18:$D$21,S34)+INDEX('CostModel Coef'!$E$18:$E$21,S34)+INDEX('CostModel Coef'!$G$18:$G$21,S34)*I34/100,"")</f>
        <v>-459.82176429999527</v>
      </c>
      <c r="W34" s="34">
        <f>IF(T34,INDEX('CostModel Coef'!$J$18:$J$21,S34),"")</f>
        <v>9.8653999999999993</v>
      </c>
      <c r="X34" s="99">
        <f>IF(T34,INDEX('CostModel Coef'!$M$18:$M$21,S34),"")</f>
        <v>0.3</v>
      </c>
      <c r="Y34" s="110"/>
      <c r="Z34" s="110"/>
      <c r="AA34" s="44">
        <f t="shared" si="1"/>
        <v>-598</v>
      </c>
      <c r="AB34" s="44">
        <f t="shared" si="2"/>
        <v>12.83</v>
      </c>
      <c r="AC34" s="97">
        <f>IF(T34,INDEX('CostModel Coef'!$K$18:$K$21,S34),"")</f>
        <v>300</v>
      </c>
      <c r="AD34" s="97">
        <f>IF(T34,INDEX('CostModel Coef'!$L$18:$L$21,S34),"")</f>
        <v>4000</v>
      </c>
      <c r="AE34" s="110"/>
      <c r="AF34" s="81"/>
    </row>
    <row r="35" spans="1:32" s="49" customFormat="1">
      <c r="A35" s="107" t="s">
        <v>473</v>
      </c>
      <c r="B35" s="107" t="s">
        <v>471</v>
      </c>
      <c r="C35" s="110"/>
      <c r="D35" s="110" t="s">
        <v>425</v>
      </c>
      <c r="E35" s="110" t="s">
        <v>405</v>
      </c>
      <c r="F35" s="110" t="s">
        <v>414</v>
      </c>
      <c r="G35" s="110">
        <v>2500</v>
      </c>
      <c r="H35" s="110"/>
      <c r="I35" s="110">
        <v>90</v>
      </c>
      <c r="J35" s="110" t="s">
        <v>123</v>
      </c>
      <c r="K35" s="110"/>
      <c r="L35" s="110" t="s">
        <v>415</v>
      </c>
      <c r="M35" s="110" t="s">
        <v>407</v>
      </c>
      <c r="N35" s="110" t="s">
        <v>435</v>
      </c>
      <c r="O35" s="110" t="s">
        <v>474</v>
      </c>
      <c r="P35" s="110"/>
      <c r="Q35" s="76" t="s">
        <v>24</v>
      </c>
      <c r="R35" s="110" t="b">
        <f>IFERROR(AND(I35/100&gt;=INDEX('CostModel Coef'!$H$18:$H$21,S35),I35/100&lt;=INDEX('CostModel Coef'!$I$18:$I$21,S35)),FALSE)</f>
        <v>1</v>
      </c>
      <c r="S35" s="138">
        <f>IFERROR(MATCH(Q35,'CostModel Coef'!$C$18:$C$21,0),0)</f>
        <v>3</v>
      </c>
      <c r="T35" s="100" t="b">
        <v>0</v>
      </c>
      <c r="U35" s="110"/>
      <c r="V35" s="82" t="str">
        <f>IF(T35,INDEX('CostModel Coef'!$D$18:$D$21,S35)+INDEX('CostModel Coef'!$E$18:$E$21,S35)+INDEX('CostModel Coef'!$G$18:$G$21,S35)*I35/100,"")</f>
        <v/>
      </c>
      <c r="W35" s="34" t="str">
        <f>IF(T35,INDEX('CostModel Coef'!$J$18:$J$21,S35),"")</f>
        <v/>
      </c>
      <c r="X35" s="99" t="str">
        <f>IF(T35,INDEX('CostModel Coef'!$M$18:$M$21,S35),"")</f>
        <v/>
      </c>
      <c r="Y35" s="110"/>
      <c r="Z35" s="110"/>
      <c r="AA35" s="44" t="str">
        <f t="shared" si="1"/>
        <v/>
      </c>
      <c r="AB35" s="44" t="str">
        <f t="shared" si="2"/>
        <v/>
      </c>
      <c r="AC35" s="97" t="str">
        <f>IF(T35,INDEX('CostModel Coef'!$K$18:$K$21,S35),"")</f>
        <v/>
      </c>
      <c r="AD35" s="97" t="str">
        <f>IF(T35,INDEX('CostModel Coef'!$L$18:$L$21,S35),"")</f>
        <v/>
      </c>
      <c r="AE35" s="110"/>
      <c r="AF35" s="81"/>
    </row>
    <row r="36" spans="1:32" s="49" customFormat="1">
      <c r="A36" s="107" t="s">
        <v>475</v>
      </c>
      <c r="B36" s="107" t="s">
        <v>471</v>
      </c>
      <c r="C36" s="110"/>
      <c r="D36" s="110" t="s">
        <v>425</v>
      </c>
      <c r="E36" s="110" t="s">
        <v>405</v>
      </c>
      <c r="F36" s="110" t="s">
        <v>414</v>
      </c>
      <c r="G36" s="110">
        <v>2500</v>
      </c>
      <c r="H36" s="110"/>
      <c r="I36" s="110">
        <v>90</v>
      </c>
      <c r="J36" s="110" t="s">
        <v>123</v>
      </c>
      <c r="K36" s="110"/>
      <c r="L36" s="110" t="s">
        <v>415</v>
      </c>
      <c r="M36" s="110" t="s">
        <v>407</v>
      </c>
      <c r="N36" s="110" t="s">
        <v>435</v>
      </c>
      <c r="O36" s="110" t="s">
        <v>476</v>
      </c>
      <c r="P36" s="110"/>
      <c r="Q36" s="76" t="s">
        <v>24</v>
      </c>
      <c r="R36" s="110" t="b">
        <f>IFERROR(AND(I36/100&gt;=INDEX('CostModel Coef'!$H$18:$H$21,S36),I36/100&lt;=INDEX('CostModel Coef'!$I$18:$I$21,S36)),FALSE)</f>
        <v>1</v>
      </c>
      <c r="S36" s="138">
        <f>IFERROR(MATCH(Q36,'CostModel Coef'!$C$18:$C$21,0),0)</f>
        <v>3</v>
      </c>
      <c r="T36" s="100" t="b">
        <v>0</v>
      </c>
      <c r="U36" s="110"/>
      <c r="V36" s="82" t="str">
        <f>IF(T36,INDEX('CostModel Coef'!$D$18:$D$21,S36)+INDEX('CostModel Coef'!$E$18:$E$21,S36)+INDEX('CostModel Coef'!$G$18:$G$21,S36)*I36/100,"")</f>
        <v/>
      </c>
      <c r="W36" s="34" t="str">
        <f>IF(T36,INDEX('CostModel Coef'!$J$18:$J$21,S36),"")</f>
        <v/>
      </c>
      <c r="X36" s="99" t="str">
        <f>IF(T36,INDEX('CostModel Coef'!$M$18:$M$21,S36),"")</f>
        <v/>
      </c>
      <c r="Y36" s="110"/>
      <c r="Z36" s="110"/>
      <c r="AA36" s="44" t="str">
        <f t="shared" si="1"/>
        <v/>
      </c>
      <c r="AB36" s="44" t="str">
        <f t="shared" si="2"/>
        <v/>
      </c>
      <c r="AC36" s="97" t="str">
        <f>IF(T36,INDEX('CostModel Coef'!$K$18:$K$21,S36),"")</f>
        <v/>
      </c>
      <c r="AD36" s="97" t="str">
        <f>IF(T36,INDEX('CostModel Coef'!$L$18:$L$21,S36),"")</f>
        <v/>
      </c>
      <c r="AE36" s="110"/>
      <c r="AF36" s="81"/>
    </row>
    <row r="37" spans="1:32" s="49" customFormat="1">
      <c r="A37" s="107" t="s">
        <v>477</v>
      </c>
      <c r="B37" s="107" t="s">
        <v>478</v>
      </c>
      <c r="C37" s="110"/>
      <c r="D37" s="110" t="s">
        <v>425</v>
      </c>
      <c r="E37" s="110" t="s">
        <v>405</v>
      </c>
      <c r="F37" s="110" t="s">
        <v>414</v>
      </c>
      <c r="G37" s="110">
        <v>2500</v>
      </c>
      <c r="H37" s="110"/>
      <c r="I37" s="110">
        <v>94</v>
      </c>
      <c r="J37" s="110" t="s">
        <v>123</v>
      </c>
      <c r="K37" s="110"/>
      <c r="L37" s="110" t="s">
        <v>415</v>
      </c>
      <c r="M37" s="110" t="s">
        <v>407</v>
      </c>
      <c r="N37" s="110" t="s">
        <v>435</v>
      </c>
      <c r="O37" s="110" t="s">
        <v>479</v>
      </c>
      <c r="P37" s="110"/>
      <c r="Q37" s="76" t="s">
        <v>24</v>
      </c>
      <c r="R37" s="110" t="b">
        <f>IFERROR(AND(I37/100&gt;=INDEX('CostModel Coef'!$H$18:$H$21,S37),I37/100&lt;=INDEX('CostModel Coef'!$I$18:$I$21,S37)),FALSE)</f>
        <v>1</v>
      </c>
      <c r="S37" s="138">
        <f>IFERROR(MATCH(Q37,'CostModel Coef'!$C$18:$C$21,0),0)</f>
        <v>3</v>
      </c>
      <c r="T37" s="110" t="b">
        <f t="shared" si="0"/>
        <v>1</v>
      </c>
      <c r="U37" s="110"/>
      <c r="V37" s="82">
        <f>IF(T37,INDEX('CostModel Coef'!$D$18:$D$21,S37)+INDEX('CostModel Coef'!$E$18:$E$21,S37)+INDEX('CostModel Coef'!$G$18:$G$21,S37)*I37/100,"")</f>
        <v>5283.7563277000008</v>
      </c>
      <c r="W37" s="34">
        <f>IF(T37,INDEX('CostModel Coef'!$J$18:$J$21,S37),"")</f>
        <v>9.8653999999999993</v>
      </c>
      <c r="X37" s="99">
        <f>IF(T37,INDEX('CostModel Coef'!$M$18:$M$21,S37),"")</f>
        <v>0.3</v>
      </c>
      <c r="Y37" s="110"/>
      <c r="Z37" s="110"/>
      <c r="AA37" s="44">
        <f t="shared" si="1"/>
        <v>6869</v>
      </c>
      <c r="AB37" s="44">
        <f t="shared" si="2"/>
        <v>12.83</v>
      </c>
      <c r="AC37" s="97">
        <f>IF(T37,INDEX('CostModel Coef'!$K$18:$K$21,S37),"")</f>
        <v>300</v>
      </c>
      <c r="AD37" s="97">
        <f>IF(T37,INDEX('CostModel Coef'!$L$18:$L$21,S37),"")</f>
        <v>4000</v>
      </c>
      <c r="AE37" s="110"/>
      <c r="AF37" s="81"/>
    </row>
    <row r="38" spans="1:32" s="49" customFormat="1">
      <c r="A38" s="107" t="s">
        <v>480</v>
      </c>
      <c r="B38" s="107" t="s">
        <v>478</v>
      </c>
      <c r="C38" s="110"/>
      <c r="D38" s="110" t="s">
        <v>425</v>
      </c>
      <c r="E38" s="110" t="s">
        <v>405</v>
      </c>
      <c r="F38" s="110" t="s">
        <v>414</v>
      </c>
      <c r="G38" s="110">
        <v>2500</v>
      </c>
      <c r="H38" s="110"/>
      <c r="I38" s="110">
        <v>94</v>
      </c>
      <c r="J38" s="110" t="s">
        <v>123</v>
      </c>
      <c r="K38" s="110"/>
      <c r="L38" s="110" t="s">
        <v>415</v>
      </c>
      <c r="M38" s="110" t="s">
        <v>407</v>
      </c>
      <c r="N38" s="110" t="s">
        <v>435</v>
      </c>
      <c r="O38" s="110" t="s">
        <v>481</v>
      </c>
      <c r="P38" s="110"/>
      <c r="Q38" s="76" t="s">
        <v>24</v>
      </c>
      <c r="R38" s="110" t="b">
        <f>IFERROR(AND(I38/100&gt;=INDEX('CostModel Coef'!$H$18:$H$21,S38),I38/100&lt;=INDEX('CostModel Coef'!$I$18:$I$21,S38)),FALSE)</f>
        <v>1</v>
      </c>
      <c r="S38" s="138">
        <f>IFERROR(MATCH(Q38,'CostModel Coef'!$C$18:$C$21,0),0)</f>
        <v>3</v>
      </c>
      <c r="T38" s="100" t="b">
        <v>0</v>
      </c>
      <c r="U38" s="110"/>
      <c r="V38" s="82" t="str">
        <f>IF(T38,INDEX('CostModel Coef'!$D$18:$D$21,S38)+INDEX('CostModel Coef'!$E$18:$E$21,S38)+INDEX('CostModel Coef'!$G$18:$G$21,S38)*I38/100,"")</f>
        <v/>
      </c>
      <c r="W38" s="34" t="str">
        <f>IF(T38,INDEX('CostModel Coef'!$J$18:$J$21,S38),"")</f>
        <v/>
      </c>
      <c r="X38" s="99" t="str">
        <f>IF(T38,INDEX('CostModel Coef'!$M$18:$M$21,S38),"")</f>
        <v/>
      </c>
      <c r="Y38" s="110"/>
      <c r="Z38" s="110"/>
      <c r="AA38" s="44" t="str">
        <f t="shared" si="1"/>
        <v/>
      </c>
      <c r="AB38" s="44" t="str">
        <f t="shared" si="2"/>
        <v/>
      </c>
      <c r="AC38" s="97" t="str">
        <f>IF(T38,INDEX('CostModel Coef'!$K$18:$K$21,S38),"")</f>
        <v/>
      </c>
      <c r="AD38" s="97" t="str">
        <f>IF(T38,INDEX('CostModel Coef'!$L$18:$L$21,S38),"")</f>
        <v/>
      </c>
      <c r="AE38" s="110"/>
      <c r="AF38" s="81"/>
    </row>
    <row r="39" spans="1:32" s="49" customFormat="1">
      <c r="A39" s="107" t="s">
        <v>482</v>
      </c>
      <c r="B39" s="107" t="s">
        <v>478</v>
      </c>
      <c r="C39" s="110"/>
      <c r="D39" s="110" t="s">
        <v>425</v>
      </c>
      <c r="E39" s="110" t="s">
        <v>405</v>
      </c>
      <c r="F39" s="110" t="s">
        <v>414</v>
      </c>
      <c r="G39" s="110">
        <v>2500</v>
      </c>
      <c r="H39" s="110"/>
      <c r="I39" s="110">
        <v>94</v>
      </c>
      <c r="J39" s="110" t="s">
        <v>123</v>
      </c>
      <c r="K39" s="110"/>
      <c r="L39" s="110" t="s">
        <v>415</v>
      </c>
      <c r="M39" s="110" t="s">
        <v>407</v>
      </c>
      <c r="N39" s="110" t="s">
        <v>435</v>
      </c>
      <c r="O39" s="110" t="s">
        <v>483</v>
      </c>
      <c r="P39" s="110"/>
      <c r="Q39" s="76" t="s">
        <v>24</v>
      </c>
      <c r="R39" s="110" t="b">
        <f>IFERROR(AND(I39/100&gt;=INDEX('CostModel Coef'!$H$18:$H$21,S39),I39/100&lt;=INDEX('CostModel Coef'!$I$18:$I$21,S39)),FALSE)</f>
        <v>1</v>
      </c>
      <c r="S39" s="138">
        <f>IFERROR(MATCH(Q39,'CostModel Coef'!$C$18:$C$21,0),0)</f>
        <v>3</v>
      </c>
      <c r="T39" s="100" t="b">
        <v>0</v>
      </c>
      <c r="U39" s="110"/>
      <c r="V39" s="82" t="str">
        <f>IF(T39,INDEX('CostModel Coef'!$D$18:$D$21,S39)+INDEX('CostModel Coef'!$E$18:$E$21,S39)+INDEX('CostModel Coef'!$G$18:$G$21,S39)*I39/100,"")</f>
        <v/>
      </c>
      <c r="W39" s="34" t="str">
        <f>IF(T39,INDEX('CostModel Coef'!$J$18:$J$21,S39),"")</f>
        <v/>
      </c>
      <c r="X39" s="99" t="str">
        <f>IF(T39,INDEX('CostModel Coef'!$M$18:$M$21,S39),"")</f>
        <v/>
      </c>
      <c r="Y39" s="110"/>
      <c r="Z39" s="110"/>
      <c r="AA39" s="44" t="str">
        <f t="shared" si="1"/>
        <v/>
      </c>
      <c r="AB39" s="44" t="str">
        <f t="shared" si="2"/>
        <v/>
      </c>
      <c r="AC39" s="97" t="str">
        <f>IF(T39,INDEX('CostModel Coef'!$K$18:$K$21,S39),"")</f>
        <v/>
      </c>
      <c r="AD39" s="97" t="str">
        <f>IF(T39,INDEX('CostModel Coef'!$L$18:$L$21,S39),"")</f>
        <v/>
      </c>
      <c r="AE39" s="110"/>
      <c r="AF39" s="81"/>
    </row>
    <row r="40" spans="1:32" s="49" customFormat="1">
      <c r="A40" s="107" t="s">
        <v>484</v>
      </c>
      <c r="B40" s="107" t="s">
        <v>484</v>
      </c>
      <c r="C40" s="110"/>
      <c r="D40" s="110" t="s">
        <v>425</v>
      </c>
      <c r="E40" s="110" t="s">
        <v>418</v>
      </c>
      <c r="F40" s="110" t="s">
        <v>406</v>
      </c>
      <c r="G40" s="110"/>
      <c r="H40" s="110">
        <v>300</v>
      </c>
      <c r="I40" s="110">
        <v>82</v>
      </c>
      <c r="J40" s="110" t="s">
        <v>122</v>
      </c>
      <c r="K40" s="110"/>
      <c r="L40" s="110"/>
      <c r="M40" s="110" t="s">
        <v>407</v>
      </c>
      <c r="N40" s="110" t="s">
        <v>408</v>
      </c>
      <c r="O40" s="110" t="s">
        <v>485</v>
      </c>
      <c r="P40" s="110"/>
      <c r="Q40" s="76" t="s">
        <v>161</v>
      </c>
      <c r="R40" s="110" t="b">
        <f>IFERROR(AND(I40/100&gt;=INDEX('CostModel Coef'!$H$18:$H$21,S40),I40/100&lt;=INDEX('CostModel Coef'!$I$18:$I$21,S40)),FALSE)</f>
        <v>0</v>
      </c>
      <c r="S40" s="138">
        <f>IFERROR(MATCH(Q40,'CostModel Coef'!$C$18:$C$21,0),0)</f>
        <v>0</v>
      </c>
      <c r="T40" s="110" t="b">
        <f t="shared" si="0"/>
        <v>0</v>
      </c>
      <c r="U40" s="110"/>
      <c r="V40" s="82" t="str">
        <f>IF(T40,INDEX('CostModel Coef'!$D$18:$D$21,S40)+INDEX('CostModel Coef'!$E$18:$E$21,S40)+INDEX('CostModel Coef'!$G$18:$G$21,S40)*I40/100,"")</f>
        <v/>
      </c>
      <c r="W40" s="34" t="str">
        <f>IF(T40,INDEX('CostModel Coef'!$J$18:$J$21,S40),"")</f>
        <v/>
      </c>
      <c r="X40" s="99" t="str">
        <f>IF(T40,INDEX('CostModel Coef'!$M$18:$M$21,S40),"")</f>
        <v/>
      </c>
      <c r="Y40" s="110"/>
      <c r="Z40" s="110"/>
      <c r="AA40" s="44" t="str">
        <f t="shared" si="1"/>
        <v/>
      </c>
      <c r="AB40" s="44" t="str">
        <f t="shared" si="2"/>
        <v/>
      </c>
      <c r="AC40" s="97" t="str">
        <f>IF(T40,INDEX('CostModel Coef'!$K$18:$K$21,S40),"")</f>
        <v/>
      </c>
      <c r="AD40" s="97" t="str">
        <f>IF(T40,INDEX('CostModel Coef'!$L$18:$L$21,S40),"")</f>
        <v/>
      </c>
      <c r="AE40" s="110"/>
      <c r="AF40" s="81"/>
    </row>
    <row r="41" spans="1:32" s="49" customFormat="1">
      <c r="A41" s="107" t="s">
        <v>486</v>
      </c>
      <c r="B41" s="107" t="s">
        <v>486</v>
      </c>
      <c r="C41" s="110"/>
      <c r="D41" s="110" t="s">
        <v>425</v>
      </c>
      <c r="E41" s="110" t="s">
        <v>418</v>
      </c>
      <c r="F41" s="110" t="s">
        <v>406</v>
      </c>
      <c r="G41" s="110"/>
      <c r="H41" s="110">
        <v>300</v>
      </c>
      <c r="I41" s="110">
        <v>83</v>
      </c>
      <c r="J41" s="110" t="s">
        <v>122</v>
      </c>
      <c r="K41" s="110"/>
      <c r="L41" s="110"/>
      <c r="M41" s="110" t="s">
        <v>407</v>
      </c>
      <c r="N41" s="110" t="s">
        <v>408</v>
      </c>
      <c r="O41" s="110" t="s">
        <v>487</v>
      </c>
      <c r="P41" s="110"/>
      <c r="Q41" s="76" t="s">
        <v>161</v>
      </c>
      <c r="R41" s="110" t="b">
        <f>IFERROR(AND(I41/100&gt;=INDEX('CostModel Coef'!$H$18:$H$21,S41),I41/100&lt;=INDEX('CostModel Coef'!$I$18:$I$21,S41)),FALSE)</f>
        <v>0</v>
      </c>
      <c r="S41" s="138">
        <f>IFERROR(MATCH(Q41,'CostModel Coef'!$C$18:$C$21,0),0)</f>
        <v>0</v>
      </c>
      <c r="T41" s="110" t="b">
        <f t="shared" si="0"/>
        <v>0</v>
      </c>
      <c r="U41" s="110"/>
      <c r="V41" s="82" t="str">
        <f>IF(T41,INDEX('CostModel Coef'!$D$18:$D$21,S41)+INDEX('CostModel Coef'!$E$18:$E$21,S41)+INDEX('CostModel Coef'!$G$18:$G$21,S41)*I41/100,"")</f>
        <v/>
      </c>
      <c r="W41" s="34" t="str">
        <f>IF(T41,INDEX('CostModel Coef'!$J$18:$J$21,S41),"")</f>
        <v/>
      </c>
      <c r="X41" s="99" t="str">
        <f>IF(T41,INDEX('CostModel Coef'!$M$18:$M$21,S41),"")</f>
        <v/>
      </c>
      <c r="Y41" s="110"/>
      <c r="Z41" s="110"/>
      <c r="AA41" s="44" t="str">
        <f t="shared" si="1"/>
        <v/>
      </c>
      <c r="AB41" s="44" t="str">
        <f t="shared" si="2"/>
        <v/>
      </c>
      <c r="AC41" s="97" t="str">
        <f>IF(T41,INDEX('CostModel Coef'!$K$18:$K$21,S41),"")</f>
        <v/>
      </c>
      <c r="AD41" s="97" t="str">
        <f>IF(T41,INDEX('CostModel Coef'!$L$18:$L$21,S41),"")</f>
        <v/>
      </c>
      <c r="AE41" s="110"/>
      <c r="AF41" s="81"/>
    </row>
    <row r="42" spans="1:32" s="49" customFormat="1">
      <c r="A42" s="107" t="s">
        <v>488</v>
      </c>
      <c r="B42" s="107" t="s">
        <v>488</v>
      </c>
      <c r="C42" s="110"/>
      <c r="D42" s="110" t="s">
        <v>425</v>
      </c>
      <c r="E42" s="110" t="s">
        <v>418</v>
      </c>
      <c r="F42" s="110" t="s">
        <v>411</v>
      </c>
      <c r="G42" s="110">
        <v>300</v>
      </c>
      <c r="H42" s="110">
        <v>2500</v>
      </c>
      <c r="I42" s="110">
        <v>81</v>
      </c>
      <c r="J42" s="110" t="s">
        <v>123</v>
      </c>
      <c r="K42" s="110"/>
      <c r="L42" s="110"/>
      <c r="M42" s="110" t="s">
        <v>407</v>
      </c>
      <c r="N42" s="110" t="s">
        <v>408</v>
      </c>
      <c r="O42" s="110" t="s">
        <v>489</v>
      </c>
      <c r="P42" s="110"/>
      <c r="Q42" s="76" t="s">
        <v>26</v>
      </c>
      <c r="R42" s="110" t="b">
        <f>IFERROR(AND(I42/100&gt;=INDEX('CostModel Coef'!$H$18:$H$21,S42),I42/100&lt;=INDEX('CostModel Coef'!$I$18:$I$21,S42)),FALSE)</f>
        <v>1</v>
      </c>
      <c r="S42" s="138">
        <f>IFERROR(MATCH(Q42,'CostModel Coef'!$C$18:$C$21,0),0)</f>
        <v>4</v>
      </c>
      <c r="T42" s="110" t="b">
        <f t="shared" si="0"/>
        <v>1</v>
      </c>
      <c r="U42" s="110"/>
      <c r="V42" s="82">
        <f>IF(T42,INDEX('CostModel Coef'!$D$18:$D$21,S42)+INDEX('CostModel Coef'!$E$18:$E$21,S42)+INDEX('CostModel Coef'!$G$18:$G$21,S42)*I42/100,"")</f>
        <v>2116.0267643900006</v>
      </c>
      <c r="W42" s="34">
        <f>IF(T42,INDEX('CostModel Coef'!$J$18:$J$21,S42),"")</f>
        <v>13.3049</v>
      </c>
      <c r="X42" s="99">
        <f>IF(T42,INDEX('CostModel Coef'!$M$18:$M$21,S42),"")</f>
        <v>0.2</v>
      </c>
      <c r="Y42" s="110"/>
      <c r="Z42" s="110"/>
      <c r="AA42" s="44">
        <f t="shared" si="1"/>
        <v>2539</v>
      </c>
      <c r="AB42" s="44">
        <f t="shared" si="2"/>
        <v>15.97</v>
      </c>
      <c r="AC42" s="97">
        <f>IF(T42,INDEX('CostModel Coef'!$K$18:$K$21,S42),"")</f>
        <v>250</v>
      </c>
      <c r="AD42" s="97">
        <f>IF(T42,INDEX('CostModel Coef'!$L$18:$L$21,S42),"")</f>
        <v>3188</v>
      </c>
      <c r="AE42" s="110"/>
      <c r="AF42" s="81"/>
    </row>
    <row r="43" spans="1:32" s="49" customFormat="1">
      <c r="A43" s="107" t="s">
        <v>490</v>
      </c>
      <c r="B43" s="107" t="s">
        <v>490</v>
      </c>
      <c r="C43" s="110"/>
      <c r="D43" s="110" t="s">
        <v>425</v>
      </c>
      <c r="E43" s="110" t="s">
        <v>418</v>
      </c>
      <c r="F43" s="110" t="s">
        <v>411</v>
      </c>
      <c r="G43" s="110">
        <v>300</v>
      </c>
      <c r="H43" s="110">
        <v>2500</v>
      </c>
      <c r="I43" s="110">
        <v>82</v>
      </c>
      <c r="J43" s="110" t="s">
        <v>123</v>
      </c>
      <c r="K43" s="110"/>
      <c r="L43" s="110"/>
      <c r="M43" s="110" t="s">
        <v>407</v>
      </c>
      <c r="N43" s="110" t="s">
        <v>408</v>
      </c>
      <c r="O43" s="110" t="s">
        <v>491</v>
      </c>
      <c r="P43" s="110"/>
      <c r="Q43" s="76" t="s">
        <v>26</v>
      </c>
      <c r="R43" s="110" t="b">
        <f>IFERROR(AND(I43/100&gt;=INDEX('CostModel Coef'!$H$18:$H$21,S43),I43/100&lt;=INDEX('CostModel Coef'!$I$18:$I$21,S43)),FALSE)</f>
        <v>1</v>
      </c>
      <c r="S43" s="138">
        <f>IFERROR(MATCH(Q43,'CostModel Coef'!$C$18:$C$21,0),0)</f>
        <v>4</v>
      </c>
      <c r="T43" s="110" t="b">
        <f t="shared" si="0"/>
        <v>1</v>
      </c>
      <c r="U43" s="110"/>
      <c r="V43" s="82">
        <f>IF(T43,INDEX('CostModel Coef'!$D$18:$D$21,S43)+INDEX('CostModel Coef'!$E$18:$E$21,S43)+INDEX('CostModel Coef'!$G$18:$G$21,S43)*I43/100,"")</f>
        <v>6286.9866503900266</v>
      </c>
      <c r="W43" s="34">
        <f>IF(T43,INDEX('CostModel Coef'!$J$18:$J$21,S43),"")</f>
        <v>13.3049</v>
      </c>
      <c r="X43" s="99">
        <f>IF(T43,INDEX('CostModel Coef'!$M$18:$M$21,S43),"")</f>
        <v>0.2</v>
      </c>
      <c r="Y43" s="110"/>
      <c r="Z43" s="110"/>
      <c r="AA43" s="44">
        <f t="shared" si="1"/>
        <v>7544</v>
      </c>
      <c r="AB43" s="44">
        <f t="shared" si="2"/>
        <v>15.97</v>
      </c>
      <c r="AC43" s="97">
        <f>IF(T43,INDEX('CostModel Coef'!$K$18:$K$21,S43),"")</f>
        <v>250</v>
      </c>
      <c r="AD43" s="97">
        <f>IF(T43,INDEX('CostModel Coef'!$L$18:$L$21,S43),"")</f>
        <v>3188</v>
      </c>
      <c r="AE43" s="110"/>
      <c r="AF43" s="81"/>
    </row>
    <row r="44" spans="1:32" s="49" customFormat="1">
      <c r="A44" s="107" t="s">
        <v>492</v>
      </c>
      <c r="B44" s="107" t="s">
        <v>492</v>
      </c>
      <c r="C44" s="110"/>
      <c r="D44" s="110" t="s">
        <v>425</v>
      </c>
      <c r="E44" s="110" t="s">
        <v>418</v>
      </c>
      <c r="F44" s="110" t="s">
        <v>414</v>
      </c>
      <c r="G44" s="110">
        <v>2500</v>
      </c>
      <c r="H44" s="110"/>
      <c r="I44" s="110">
        <v>80</v>
      </c>
      <c r="J44" s="110" t="s">
        <v>123</v>
      </c>
      <c r="K44" s="110"/>
      <c r="L44" s="110"/>
      <c r="M44" s="110" t="s">
        <v>407</v>
      </c>
      <c r="N44" s="110" t="s">
        <v>408</v>
      </c>
      <c r="O44" s="110" t="s">
        <v>493</v>
      </c>
      <c r="P44" s="110"/>
      <c r="Q44" s="76" t="s">
        <v>26</v>
      </c>
      <c r="R44" s="110" t="b">
        <f>IFERROR(AND(I44/100&gt;=INDEX('CostModel Coef'!$H$18:$H$21,S44),I44/100&lt;=INDEX('CostModel Coef'!$I$18:$I$21,S44)),FALSE)</f>
        <v>1</v>
      </c>
      <c r="S44" s="138">
        <f>IFERROR(MATCH(Q44,'CostModel Coef'!$C$18:$C$21,0),0)</f>
        <v>4</v>
      </c>
      <c r="T44" s="110" t="b">
        <f t="shared" si="0"/>
        <v>1</v>
      </c>
      <c r="U44" s="110"/>
      <c r="V44" s="82">
        <f>IF(T44,INDEX('CostModel Coef'!$D$18:$D$21,S44)+INDEX('CostModel Coef'!$E$18:$E$21,S44)+INDEX('CostModel Coef'!$G$18:$G$21,S44)*I44/100,"")</f>
        <v>-2054.9331216100254</v>
      </c>
      <c r="W44" s="34">
        <f>IF(T44,INDEX('CostModel Coef'!$J$18:$J$21,S44),"")</f>
        <v>13.3049</v>
      </c>
      <c r="X44" s="99">
        <f>IF(T44,INDEX('CostModel Coef'!$M$18:$M$21,S44),"")</f>
        <v>0.2</v>
      </c>
      <c r="Y44" s="110"/>
      <c r="Z44" s="110"/>
      <c r="AA44" s="44">
        <f t="shared" si="1"/>
        <v>-2466</v>
      </c>
      <c r="AB44" s="44">
        <f t="shared" si="2"/>
        <v>15.97</v>
      </c>
      <c r="AC44" s="97">
        <f>IF(T44,INDEX('CostModel Coef'!$K$18:$K$21,S44),"")</f>
        <v>250</v>
      </c>
      <c r="AD44" s="97">
        <f>IF(T44,INDEX('CostModel Coef'!$L$18:$L$21,S44),"")</f>
        <v>3188</v>
      </c>
      <c r="AE44" s="110"/>
      <c r="AF44" s="81"/>
    </row>
    <row r="45" spans="1:32" s="49" customFormat="1">
      <c r="A45" s="107" t="s">
        <v>494</v>
      </c>
      <c r="B45" s="107" t="s">
        <v>494</v>
      </c>
      <c r="C45" s="110"/>
      <c r="D45" s="110" t="s">
        <v>425</v>
      </c>
      <c r="E45" s="110" t="s">
        <v>418</v>
      </c>
      <c r="F45" s="110" t="s">
        <v>414</v>
      </c>
      <c r="G45" s="110">
        <v>2500</v>
      </c>
      <c r="H45" s="110"/>
      <c r="I45" s="110">
        <v>81</v>
      </c>
      <c r="J45" s="110" t="s">
        <v>123</v>
      </c>
      <c r="K45" s="110"/>
      <c r="L45" s="110"/>
      <c r="M45" s="110" t="s">
        <v>407</v>
      </c>
      <c r="N45" s="110" t="s">
        <v>408</v>
      </c>
      <c r="O45" s="110" t="s">
        <v>495</v>
      </c>
      <c r="P45" s="110"/>
      <c r="Q45" s="76" t="s">
        <v>26</v>
      </c>
      <c r="R45" s="110" t="b">
        <f>IFERROR(AND(I45/100&gt;=INDEX('CostModel Coef'!$H$18:$H$21,S45),I45/100&lt;=INDEX('CostModel Coef'!$I$18:$I$21,S45)),FALSE)</f>
        <v>1</v>
      </c>
      <c r="S45" s="138">
        <f>IFERROR(MATCH(Q45,'CostModel Coef'!$C$18:$C$21,0),0)</f>
        <v>4</v>
      </c>
      <c r="T45" s="110" t="b">
        <f t="shared" si="0"/>
        <v>1</v>
      </c>
      <c r="U45" s="110"/>
      <c r="V45" s="82">
        <f>IF(T45,INDEX('CostModel Coef'!$D$18:$D$21,S45)+INDEX('CostModel Coef'!$E$18:$E$21,S45)+INDEX('CostModel Coef'!$G$18:$G$21,S45)*I45/100,"")</f>
        <v>2116.0267643900006</v>
      </c>
      <c r="W45" s="34">
        <f>IF(T45,INDEX('CostModel Coef'!$J$18:$J$21,S45),"")</f>
        <v>13.3049</v>
      </c>
      <c r="X45" s="99">
        <f>IF(T45,INDEX('CostModel Coef'!$M$18:$M$21,S45),"")</f>
        <v>0.2</v>
      </c>
      <c r="Y45" s="110"/>
      <c r="Z45" s="110"/>
      <c r="AA45" s="44">
        <f t="shared" si="1"/>
        <v>2539</v>
      </c>
      <c r="AB45" s="44">
        <f t="shared" si="2"/>
        <v>15.97</v>
      </c>
      <c r="AC45" s="97">
        <f>IF(T45,INDEX('CostModel Coef'!$K$18:$K$21,S45),"")</f>
        <v>250</v>
      </c>
      <c r="AD45" s="97">
        <f>IF(T45,INDEX('CostModel Coef'!$L$18:$L$21,S45),"")</f>
        <v>3188</v>
      </c>
      <c r="AE45" s="110"/>
      <c r="AF45" s="81"/>
    </row>
    <row r="46" spans="1:32" s="49" customFormat="1">
      <c r="A46" s="107" t="s">
        <v>496</v>
      </c>
      <c r="B46" s="107" t="s">
        <v>496</v>
      </c>
      <c r="C46" s="110"/>
      <c r="D46" s="110" t="s">
        <v>425</v>
      </c>
      <c r="E46" s="110" t="s">
        <v>418</v>
      </c>
      <c r="F46" s="110" t="s">
        <v>414</v>
      </c>
      <c r="G46" s="110">
        <v>2500</v>
      </c>
      <c r="H46" s="110"/>
      <c r="I46" s="110">
        <v>82</v>
      </c>
      <c r="J46" s="110" t="s">
        <v>123</v>
      </c>
      <c r="K46" s="110"/>
      <c r="L46" s="110"/>
      <c r="M46" s="110" t="s">
        <v>407</v>
      </c>
      <c r="N46" s="110" t="s">
        <v>408</v>
      </c>
      <c r="O46" s="110" t="s">
        <v>497</v>
      </c>
      <c r="P46" s="110"/>
      <c r="Q46" s="76" t="s">
        <v>26</v>
      </c>
      <c r="R46" s="110" t="b">
        <f>IFERROR(AND(I46/100&gt;=INDEX('CostModel Coef'!$H$18:$H$21,S46),I46/100&lt;=INDEX('CostModel Coef'!$I$18:$I$21,S46)),FALSE)</f>
        <v>1</v>
      </c>
      <c r="S46" s="138">
        <f>IFERROR(MATCH(Q46,'CostModel Coef'!$C$18:$C$21,0),0)</f>
        <v>4</v>
      </c>
      <c r="T46" s="110" t="b">
        <f t="shared" si="0"/>
        <v>1</v>
      </c>
      <c r="U46" s="110"/>
      <c r="V46" s="82">
        <f>IF(T46,INDEX('CostModel Coef'!$D$18:$D$21,S46)+INDEX('CostModel Coef'!$E$18:$E$21,S46)+INDEX('CostModel Coef'!$G$18:$G$21,S46)*I46/100,"")</f>
        <v>6286.9866503900266</v>
      </c>
      <c r="W46" s="34">
        <f>IF(T46,INDEX('CostModel Coef'!$J$18:$J$21,S46),"")</f>
        <v>13.3049</v>
      </c>
      <c r="X46" s="99">
        <f>IF(T46,INDEX('CostModel Coef'!$M$18:$M$21,S46),"")</f>
        <v>0.2</v>
      </c>
      <c r="Y46" s="110"/>
      <c r="Z46" s="110"/>
      <c r="AA46" s="44">
        <f t="shared" si="1"/>
        <v>7544</v>
      </c>
      <c r="AB46" s="44">
        <f t="shared" si="2"/>
        <v>15.97</v>
      </c>
      <c r="AC46" s="97">
        <f>IF(T46,INDEX('CostModel Coef'!$K$18:$K$21,S46),"")</f>
        <v>250</v>
      </c>
      <c r="AD46" s="97">
        <f>IF(T46,INDEX('CostModel Coef'!$L$18:$L$21,S46),"")</f>
        <v>3188</v>
      </c>
      <c r="AE46" s="110"/>
      <c r="AF46" s="81"/>
    </row>
    <row r="47" spans="1:32" s="49" customFormat="1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</sheetData>
  <mergeCells count="1">
    <mergeCell ref="V6:W6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125"/>
  <sheetViews>
    <sheetView workbookViewId="0">
      <pane ySplit="5" topLeftCell="A21" activePane="bottomLeft" state="frozen"/>
      <selection pane="bottomLeft" activeCell="A46" sqref="A46"/>
    </sheetView>
  </sheetViews>
  <sheetFormatPr defaultRowHeight="15"/>
  <cols>
    <col min="2" max="2" width="46.140625" customWidth="1"/>
    <col min="3" max="3" width="62.42578125" bestFit="1" customWidth="1"/>
    <col min="4" max="4" width="10.5703125" bestFit="1" customWidth="1"/>
    <col min="5" max="5" width="10.42578125" customWidth="1"/>
    <col min="10" max="10" width="15.5703125" bestFit="1" customWidth="1"/>
    <col min="11" max="11" width="12.85546875" bestFit="1" customWidth="1"/>
    <col min="12" max="12" width="10.140625" customWidth="1"/>
    <col min="13" max="13" width="43.85546875" bestFit="1" customWidth="1"/>
    <col min="22" max="22" width="10.42578125" customWidth="1"/>
    <col min="23" max="24" width="10" customWidth="1"/>
  </cols>
  <sheetData>
    <row r="1" spans="1:37" s="10" customFormat="1">
      <c r="A1" s="112" t="s">
        <v>498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</row>
    <row r="2" spans="1:37" s="10" customFormat="1">
      <c r="A2" s="112" t="s">
        <v>499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</row>
    <row r="3" spans="1:37" s="10" customFormat="1">
      <c r="A3" s="112" t="s">
        <v>128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</row>
    <row r="4" spans="1:37" s="10" customForma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45" t="s">
        <v>500</v>
      </c>
      <c r="T4" s="145"/>
      <c r="U4" s="145"/>
      <c r="V4" s="145"/>
      <c r="W4" s="46" t="s">
        <v>501</v>
      </c>
      <c r="X4" s="46" t="s">
        <v>501</v>
      </c>
      <c r="Y4" s="46" t="s">
        <v>501</v>
      </c>
      <c r="Z4" s="46" t="s">
        <v>501</v>
      </c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</row>
    <row r="5" spans="1:37" s="10" customFormat="1">
      <c r="A5" s="112" t="s">
        <v>502</v>
      </c>
      <c r="B5" s="112" t="s">
        <v>389</v>
      </c>
      <c r="C5" s="112" t="s">
        <v>5</v>
      </c>
      <c r="D5" s="112" t="s">
        <v>503</v>
      </c>
      <c r="E5" s="112" t="s">
        <v>390</v>
      </c>
      <c r="F5" s="112" t="s">
        <v>504</v>
      </c>
      <c r="G5" s="112" t="s">
        <v>505</v>
      </c>
      <c r="H5" s="112" t="s">
        <v>101</v>
      </c>
      <c r="I5" s="112" t="s">
        <v>506</v>
      </c>
      <c r="J5" s="112" t="s">
        <v>507</v>
      </c>
      <c r="K5" s="112" t="s">
        <v>508</v>
      </c>
      <c r="L5" s="112" t="s">
        <v>509</v>
      </c>
      <c r="M5" s="112" t="s">
        <v>134</v>
      </c>
      <c r="N5" s="112" t="s">
        <v>510</v>
      </c>
      <c r="O5" s="112" t="s">
        <v>511</v>
      </c>
      <c r="P5" s="112" t="s">
        <v>512</v>
      </c>
      <c r="Q5" s="112" t="s">
        <v>513</v>
      </c>
      <c r="R5" s="112" t="s">
        <v>514</v>
      </c>
      <c r="S5" s="112" t="s">
        <v>515</v>
      </c>
      <c r="T5" s="112" t="s">
        <v>516</v>
      </c>
      <c r="U5" s="45" t="s">
        <v>131</v>
      </c>
      <c r="V5" s="112" t="s">
        <v>517</v>
      </c>
      <c r="W5" s="45" t="s">
        <v>518</v>
      </c>
      <c r="X5" s="45" t="s">
        <v>519</v>
      </c>
      <c r="Y5" s="45" t="s">
        <v>72</v>
      </c>
      <c r="Z5" s="45" t="s">
        <v>74</v>
      </c>
      <c r="AA5" s="112" t="s">
        <v>520</v>
      </c>
      <c r="AB5" s="112" t="s">
        <v>521</v>
      </c>
      <c r="AC5" s="112" t="s">
        <v>522</v>
      </c>
      <c r="AD5" s="112" t="s">
        <v>523</v>
      </c>
      <c r="AE5" s="112" t="s">
        <v>524</v>
      </c>
      <c r="AF5" s="112" t="s">
        <v>525</v>
      </c>
      <c r="AG5" s="112" t="s">
        <v>526</v>
      </c>
      <c r="AH5" s="112" t="s">
        <v>527</v>
      </c>
      <c r="AI5" s="112" t="s">
        <v>528</v>
      </c>
      <c r="AJ5" s="112" t="s">
        <v>529</v>
      </c>
      <c r="AK5" s="112" t="s">
        <v>530</v>
      </c>
    </row>
    <row r="6" spans="1:37" s="10" customFormat="1">
      <c r="A6" s="112" t="s">
        <v>531</v>
      </c>
      <c r="B6" s="112" t="s">
        <v>164</v>
      </c>
      <c r="C6" s="110" t="s">
        <v>532</v>
      </c>
      <c r="D6" s="112" t="s">
        <v>533</v>
      </c>
      <c r="E6" s="112" t="s">
        <v>534</v>
      </c>
      <c r="F6" s="112" t="s">
        <v>535</v>
      </c>
      <c r="G6" s="112" t="s">
        <v>536</v>
      </c>
      <c r="H6" s="112" t="s">
        <v>116</v>
      </c>
      <c r="I6" s="112" t="s">
        <v>537</v>
      </c>
      <c r="J6" s="112" t="s">
        <v>538</v>
      </c>
      <c r="K6" s="112" t="s">
        <v>539</v>
      </c>
      <c r="L6" s="112" t="s">
        <v>540</v>
      </c>
      <c r="M6" s="112" t="s">
        <v>164</v>
      </c>
      <c r="N6" s="112" t="s">
        <v>531</v>
      </c>
      <c r="O6" s="112" t="s">
        <v>531</v>
      </c>
      <c r="P6" s="112" t="s">
        <v>531</v>
      </c>
      <c r="Q6" s="112" t="s">
        <v>531</v>
      </c>
      <c r="R6" s="112" t="s">
        <v>541</v>
      </c>
      <c r="S6" s="112"/>
      <c r="T6" s="112"/>
      <c r="U6" s="112">
        <f>VLOOKUP(B6,'pkg Technology'!$A$8:$AF$132,30,FALSE)</f>
        <v>1150.27</v>
      </c>
      <c r="V6" s="112"/>
      <c r="W6" s="112">
        <f>VLOOKUP(B6,'pkg Technology'!$A$8:$AF$132,29,FALSE)</f>
        <v>277.25</v>
      </c>
      <c r="X6" s="112"/>
      <c r="Y6" s="112">
        <f>ROUND(VLOOKUP(B6,'pkg Technology'!$A$8:$AF$132,31,FALSE),1)</f>
        <v>6.9</v>
      </c>
      <c r="Z6" s="112">
        <f>ROUND(VLOOKUP(B6,'pkg Technology'!$A$8:$AF$132,32,FALSE),0)</f>
        <v>106</v>
      </c>
      <c r="AA6" s="112"/>
      <c r="AB6" s="112" t="s">
        <v>542</v>
      </c>
      <c r="AC6" s="112" t="s">
        <v>543</v>
      </c>
      <c r="AD6" s="112" t="s">
        <v>531</v>
      </c>
      <c r="AE6" s="112">
        <v>0</v>
      </c>
      <c r="AF6" s="114">
        <v>42005</v>
      </c>
      <c r="AG6" s="112"/>
      <c r="AH6" s="112" t="s">
        <v>544</v>
      </c>
      <c r="AI6" s="112" t="s">
        <v>545</v>
      </c>
      <c r="AJ6" s="112" t="str">
        <f>"Total Material cost = "&amp;W6&amp;" + "&amp;U6&amp;" * Number of Units ("&amp;D6&amp;"); Only units between "&amp;Y6&amp;" and "&amp;Z6&amp;" tons can be claimed with this cost reference; Constant and perUnit costs include contractor markup of "&amp;TEXT(VLOOKUP(B6,'pkg Technology'!$A$8:$Z$200,26,FALSE)*100,"00")&amp;"%"</f>
        <v>Total Material cost = 277.25 + 1150.27 * Number of Units (Cap-Ton); Only units between 6.9 and 106 tons can be claimed with this cost reference; Constant and perUnit costs include contractor markup of 20%</v>
      </c>
      <c r="AK6" s="112"/>
    </row>
    <row r="7" spans="1:37" s="10" customFormat="1">
      <c r="A7" s="112" t="s">
        <v>531</v>
      </c>
      <c r="B7" s="112" t="s">
        <v>167</v>
      </c>
      <c r="C7" s="110" t="s">
        <v>532</v>
      </c>
      <c r="D7" s="112" t="s">
        <v>533</v>
      </c>
      <c r="E7" s="112" t="s">
        <v>534</v>
      </c>
      <c r="F7" s="112" t="s">
        <v>535</v>
      </c>
      <c r="G7" s="112" t="s">
        <v>536</v>
      </c>
      <c r="H7" s="112" t="s">
        <v>116</v>
      </c>
      <c r="I7" s="112" t="s">
        <v>537</v>
      </c>
      <c r="J7" s="112" t="s">
        <v>538</v>
      </c>
      <c r="K7" s="112" t="s">
        <v>539</v>
      </c>
      <c r="L7" s="112" t="s">
        <v>540</v>
      </c>
      <c r="M7" s="112" t="s">
        <v>167</v>
      </c>
      <c r="N7" s="112" t="s">
        <v>531</v>
      </c>
      <c r="O7" s="112" t="s">
        <v>531</v>
      </c>
      <c r="P7" s="112" t="s">
        <v>531</v>
      </c>
      <c r="Q7" s="112" t="s">
        <v>531</v>
      </c>
      <c r="R7" s="112" t="s">
        <v>541</v>
      </c>
      <c r="S7" s="112"/>
      <c r="T7" s="112"/>
      <c r="U7" s="112">
        <f>VLOOKUP(B7,'pkg Technology'!$A$8:$AF$132,30,FALSE)</f>
        <v>1150.27</v>
      </c>
      <c r="V7" s="110"/>
      <c r="W7" s="112">
        <f>VLOOKUP(B7,'pkg Technology'!$A$8:$AF$132,29,FALSE)</f>
        <v>1664.58</v>
      </c>
      <c r="X7" s="112"/>
      <c r="Y7" s="112">
        <f>ROUND(VLOOKUP(B7,'pkg Technology'!$A$8:$AF$132,31,FALSE),1)</f>
        <v>6.9</v>
      </c>
      <c r="Z7" s="112">
        <f>ROUND(VLOOKUP(B7,'pkg Technology'!$A$8:$AF$132,32,FALSE),0)</f>
        <v>106</v>
      </c>
      <c r="AA7" s="112"/>
      <c r="AB7" s="112" t="s">
        <v>542</v>
      </c>
      <c r="AC7" s="112" t="s">
        <v>543</v>
      </c>
      <c r="AD7" s="112" t="s">
        <v>531</v>
      </c>
      <c r="AE7" s="112">
        <v>0</v>
      </c>
      <c r="AF7" s="114">
        <v>42005</v>
      </c>
      <c r="AG7" s="112"/>
      <c r="AH7" s="112" t="s">
        <v>544</v>
      </c>
      <c r="AI7" s="112" t="s">
        <v>545</v>
      </c>
      <c r="AJ7" s="112" t="str">
        <f>"Total Material cost = "&amp;W7&amp;" + "&amp;U7&amp;" * Number of Units ("&amp;D7&amp;"); Only units between "&amp;Y7&amp;" and "&amp;Z7&amp;" tons can be claimed with this cost reference; Constant and perUnit costs include contractor markup of "&amp;TEXT(VLOOKUP(B7,'pkg Technology'!$A$8:$Z$200,26,FALSE)*100,"00")&amp;"%"</f>
        <v>Total Material cost = 1664.58 + 1150.27 * Number of Units (Cap-Ton); Only units between 6.9 and 106 tons can be claimed with this cost reference; Constant and perUnit costs include contractor markup of 20%</v>
      </c>
      <c r="AK7" s="112"/>
    </row>
    <row r="8" spans="1:37" s="10" customFormat="1">
      <c r="A8" s="112" t="s">
        <v>531</v>
      </c>
      <c r="B8" s="112" t="s">
        <v>169</v>
      </c>
      <c r="C8" s="110" t="s">
        <v>532</v>
      </c>
      <c r="D8" s="112" t="s">
        <v>533</v>
      </c>
      <c r="E8" s="112" t="s">
        <v>534</v>
      </c>
      <c r="F8" s="112" t="s">
        <v>535</v>
      </c>
      <c r="G8" s="112" t="s">
        <v>536</v>
      </c>
      <c r="H8" s="112" t="s">
        <v>116</v>
      </c>
      <c r="I8" s="112" t="s">
        <v>537</v>
      </c>
      <c r="J8" s="112" t="s">
        <v>538</v>
      </c>
      <c r="K8" s="112" t="s">
        <v>539</v>
      </c>
      <c r="L8" s="112" t="s">
        <v>540</v>
      </c>
      <c r="M8" s="112" t="s">
        <v>169</v>
      </c>
      <c r="N8" s="112" t="s">
        <v>531</v>
      </c>
      <c r="O8" s="112" t="s">
        <v>531</v>
      </c>
      <c r="P8" s="112" t="s">
        <v>531</v>
      </c>
      <c r="Q8" s="112" t="s">
        <v>531</v>
      </c>
      <c r="R8" s="112" t="s">
        <v>541</v>
      </c>
      <c r="S8" s="112"/>
      <c r="T8" s="112"/>
      <c r="U8" s="112">
        <f>VLOOKUP(B8,'pkg Technology'!$A$8:$AF$132,30,FALSE)</f>
        <v>1150.27</v>
      </c>
      <c r="V8" s="110"/>
      <c r="W8" s="112">
        <f>VLOOKUP(B8,'pkg Technology'!$A$8:$AF$132,29,FALSE)</f>
        <v>3051.92</v>
      </c>
      <c r="X8" s="112"/>
      <c r="Y8" s="112">
        <f>ROUND(VLOOKUP(B8,'pkg Technology'!$A$8:$AF$132,31,FALSE),1)</f>
        <v>6.9</v>
      </c>
      <c r="Z8" s="112">
        <f>ROUND(VLOOKUP(B8,'pkg Technology'!$A$8:$AF$132,32,FALSE),0)</f>
        <v>106</v>
      </c>
      <c r="AA8" s="112"/>
      <c r="AB8" s="112" t="s">
        <v>542</v>
      </c>
      <c r="AC8" s="112" t="s">
        <v>543</v>
      </c>
      <c r="AD8" s="112" t="s">
        <v>531</v>
      </c>
      <c r="AE8" s="112">
        <v>0</v>
      </c>
      <c r="AF8" s="114">
        <v>42005</v>
      </c>
      <c r="AG8" s="112"/>
      <c r="AH8" s="112" t="s">
        <v>544</v>
      </c>
      <c r="AI8" s="112" t="s">
        <v>545</v>
      </c>
      <c r="AJ8" s="112" t="str">
        <f>"Total Material cost = "&amp;W8&amp;" + "&amp;U8&amp;" * Number of Units ("&amp;D8&amp;"); Only units between "&amp;Y8&amp;" and "&amp;Z8&amp;" tons can be claimed with this cost reference; Constant and perUnit costs include contractor markup of "&amp;TEXT(VLOOKUP(B8,'pkg Technology'!$A$8:$Z$200,26,FALSE)*100,"00")&amp;"%"</f>
        <v>Total Material cost = 3051.92 + 1150.27 * Number of Units (Cap-Ton); Only units between 6.9 and 106 tons can be claimed with this cost reference; Constant and perUnit costs include contractor markup of 20%</v>
      </c>
      <c r="AK8" s="112"/>
    </row>
    <row r="9" spans="1:37" s="10" customFormat="1">
      <c r="A9" s="112" t="s">
        <v>531</v>
      </c>
      <c r="B9" s="112" t="s">
        <v>171</v>
      </c>
      <c r="C9" s="110" t="s">
        <v>532</v>
      </c>
      <c r="D9" s="112" t="s">
        <v>533</v>
      </c>
      <c r="E9" s="112" t="s">
        <v>534</v>
      </c>
      <c r="F9" s="112" t="s">
        <v>535</v>
      </c>
      <c r="G9" s="112" t="s">
        <v>536</v>
      </c>
      <c r="H9" s="112" t="s">
        <v>116</v>
      </c>
      <c r="I9" s="112" t="s">
        <v>537</v>
      </c>
      <c r="J9" s="112" t="s">
        <v>538</v>
      </c>
      <c r="K9" s="112" t="s">
        <v>539</v>
      </c>
      <c r="L9" s="112" t="s">
        <v>540</v>
      </c>
      <c r="M9" s="112" t="s">
        <v>171</v>
      </c>
      <c r="N9" s="112" t="s">
        <v>531</v>
      </c>
      <c r="O9" s="112" t="s">
        <v>531</v>
      </c>
      <c r="P9" s="112" t="s">
        <v>531</v>
      </c>
      <c r="Q9" s="112" t="s">
        <v>531</v>
      </c>
      <c r="R9" s="112" t="s">
        <v>541</v>
      </c>
      <c r="S9" s="112"/>
      <c r="T9" s="112"/>
      <c r="U9" s="112">
        <f>VLOOKUP(B9,'pkg Technology'!$A$8:$AF$132,30,FALSE)</f>
        <v>1150.27</v>
      </c>
      <c r="V9" s="110"/>
      <c r="W9" s="112">
        <f>VLOOKUP(B9,'pkg Technology'!$A$8:$AF$132,29,FALSE)</f>
        <v>4439.26</v>
      </c>
      <c r="X9" s="112"/>
      <c r="Y9" s="112">
        <f>ROUND(VLOOKUP(B9,'pkg Technology'!$A$8:$AF$132,31,FALSE),1)</f>
        <v>6.9</v>
      </c>
      <c r="Z9" s="112">
        <f>ROUND(VLOOKUP(B9,'pkg Technology'!$A$8:$AF$132,32,FALSE),0)</f>
        <v>106</v>
      </c>
      <c r="AA9" s="112"/>
      <c r="AB9" s="112" t="s">
        <v>542</v>
      </c>
      <c r="AC9" s="112" t="s">
        <v>543</v>
      </c>
      <c r="AD9" s="112" t="s">
        <v>531</v>
      </c>
      <c r="AE9" s="112">
        <v>0</v>
      </c>
      <c r="AF9" s="114">
        <v>42005</v>
      </c>
      <c r="AG9" s="112"/>
      <c r="AH9" s="112" t="s">
        <v>544</v>
      </c>
      <c r="AI9" s="112" t="s">
        <v>545</v>
      </c>
      <c r="AJ9" s="112" t="str">
        <f>"Total Material cost = "&amp;W9&amp;" + "&amp;U9&amp;" * Number of Units ("&amp;D9&amp;"); Only units between "&amp;Y9&amp;" and "&amp;Z9&amp;" tons can be claimed with this cost reference; Constant and perUnit costs include contractor markup of "&amp;TEXT(VLOOKUP(B9,'pkg Technology'!$A$8:$Z$200,26,FALSE)*100,"00")&amp;"%"</f>
        <v>Total Material cost = 4439.26 + 1150.27 * Number of Units (Cap-Ton); Only units between 6.9 and 106 tons can be claimed with this cost reference; Constant and perUnit costs include contractor markup of 20%</v>
      </c>
      <c r="AK9" s="112"/>
    </row>
    <row r="10" spans="1:37" s="10" customFormat="1">
      <c r="A10" s="112" t="s">
        <v>531</v>
      </c>
      <c r="B10" s="112" t="s">
        <v>175</v>
      </c>
      <c r="C10" s="110" t="s">
        <v>532</v>
      </c>
      <c r="D10" s="112" t="s">
        <v>533</v>
      </c>
      <c r="E10" s="112" t="s">
        <v>534</v>
      </c>
      <c r="F10" s="112" t="s">
        <v>535</v>
      </c>
      <c r="G10" s="112" t="s">
        <v>536</v>
      </c>
      <c r="H10" s="112" t="s">
        <v>116</v>
      </c>
      <c r="I10" s="112" t="s">
        <v>537</v>
      </c>
      <c r="J10" s="112" t="s">
        <v>538</v>
      </c>
      <c r="K10" s="112" t="s">
        <v>539</v>
      </c>
      <c r="L10" s="112" t="s">
        <v>540</v>
      </c>
      <c r="M10" s="112" t="s">
        <v>175</v>
      </c>
      <c r="N10" s="112" t="s">
        <v>531</v>
      </c>
      <c r="O10" s="112" t="s">
        <v>531</v>
      </c>
      <c r="P10" s="112" t="s">
        <v>531</v>
      </c>
      <c r="Q10" s="112" t="s">
        <v>531</v>
      </c>
      <c r="R10" s="112" t="s">
        <v>541</v>
      </c>
      <c r="S10" s="112"/>
      <c r="T10" s="112"/>
      <c r="U10" s="112">
        <f>VLOOKUP(B10,'pkg Technology'!$A$8:$AF$132,30,FALSE)</f>
        <v>1150.27</v>
      </c>
      <c r="V10" s="110"/>
      <c r="W10" s="112">
        <f>VLOOKUP(B10,'pkg Technology'!$A$8:$AF$132,29,FALSE)</f>
        <v>-277.69</v>
      </c>
      <c r="X10" s="112"/>
      <c r="Y10" s="112">
        <f>ROUND(VLOOKUP(B10,'pkg Technology'!$A$8:$AF$132,31,FALSE),1)</f>
        <v>6.9</v>
      </c>
      <c r="Z10" s="112">
        <f>ROUND(VLOOKUP(B10,'pkg Technology'!$A$8:$AF$132,32,FALSE),0)</f>
        <v>106</v>
      </c>
      <c r="AA10" s="112"/>
      <c r="AB10" s="112" t="s">
        <v>542</v>
      </c>
      <c r="AC10" s="112" t="s">
        <v>543</v>
      </c>
      <c r="AD10" s="112" t="s">
        <v>531</v>
      </c>
      <c r="AE10" s="112">
        <v>0</v>
      </c>
      <c r="AF10" s="114">
        <v>42005</v>
      </c>
      <c r="AG10" s="112"/>
      <c r="AH10" s="112" t="s">
        <v>544</v>
      </c>
      <c r="AI10" s="112" t="s">
        <v>545</v>
      </c>
      <c r="AJ10" s="112" t="str">
        <f>"Total Material cost = "&amp;W10&amp;" + "&amp;U10&amp;" * Number of Units ("&amp;D10&amp;"); Only units between "&amp;Y10&amp;" and "&amp;Z10&amp;" tons can be claimed with this cost reference; Constant and perUnit costs include contractor markup of "&amp;TEXT(VLOOKUP(B10,'pkg Technology'!$A$8:$Z$200,26,FALSE)*100,"00")&amp;"%"</f>
        <v>Total Material cost = -277.69 + 1150.27 * Number of Units (Cap-Ton); Only units between 6.9 and 106 tons can be claimed with this cost reference; Constant and perUnit costs include contractor markup of 20%</v>
      </c>
      <c r="AK10" s="112"/>
    </row>
    <row r="11" spans="1:37" s="10" customFormat="1">
      <c r="A11" s="112" t="s">
        <v>531</v>
      </c>
      <c r="B11" s="112" t="s">
        <v>177</v>
      </c>
      <c r="C11" s="110" t="s">
        <v>532</v>
      </c>
      <c r="D11" s="112" t="s">
        <v>533</v>
      </c>
      <c r="E11" s="112" t="s">
        <v>534</v>
      </c>
      <c r="F11" s="112" t="s">
        <v>535</v>
      </c>
      <c r="G11" s="112" t="s">
        <v>536</v>
      </c>
      <c r="H11" s="112" t="s">
        <v>116</v>
      </c>
      <c r="I11" s="112" t="s">
        <v>537</v>
      </c>
      <c r="J11" s="112" t="s">
        <v>538</v>
      </c>
      <c r="K11" s="112" t="s">
        <v>539</v>
      </c>
      <c r="L11" s="112" t="s">
        <v>540</v>
      </c>
      <c r="M11" s="112" t="s">
        <v>177</v>
      </c>
      <c r="N11" s="112" t="s">
        <v>531</v>
      </c>
      <c r="O11" s="112" t="s">
        <v>531</v>
      </c>
      <c r="P11" s="112" t="s">
        <v>531</v>
      </c>
      <c r="Q11" s="112" t="s">
        <v>531</v>
      </c>
      <c r="R11" s="112" t="s">
        <v>541</v>
      </c>
      <c r="S11" s="112"/>
      <c r="T11" s="112"/>
      <c r="U11" s="112">
        <f>VLOOKUP(B11,'pkg Technology'!$A$8:$AF$132,30,FALSE)</f>
        <v>1150.27</v>
      </c>
      <c r="V11" s="110"/>
      <c r="W11" s="112">
        <f>VLOOKUP(B11,'pkg Technology'!$A$8:$AF$132,29,FALSE)</f>
        <v>1664.58</v>
      </c>
      <c r="X11" s="112"/>
      <c r="Y11" s="112">
        <f>ROUND(VLOOKUP(B11,'pkg Technology'!$A$8:$AF$132,31,FALSE),1)</f>
        <v>6.9</v>
      </c>
      <c r="Z11" s="112">
        <f>ROUND(VLOOKUP(B11,'pkg Technology'!$A$8:$AF$132,32,FALSE),0)</f>
        <v>106</v>
      </c>
      <c r="AA11" s="112"/>
      <c r="AB11" s="112" t="s">
        <v>542</v>
      </c>
      <c r="AC11" s="112" t="s">
        <v>543</v>
      </c>
      <c r="AD11" s="112" t="s">
        <v>531</v>
      </c>
      <c r="AE11" s="112">
        <v>0</v>
      </c>
      <c r="AF11" s="114">
        <v>42005</v>
      </c>
      <c r="AG11" s="112"/>
      <c r="AH11" s="112" t="s">
        <v>544</v>
      </c>
      <c r="AI11" s="112" t="s">
        <v>545</v>
      </c>
      <c r="AJ11" s="112" t="str">
        <f>"Total Material cost = "&amp;W11&amp;" + "&amp;U11&amp;" * Number of Units ("&amp;D11&amp;"); Only units between "&amp;Y11&amp;" and "&amp;Z11&amp;" tons can be claimed with this cost reference; Constant and perUnit costs include contractor markup of "&amp;TEXT(VLOOKUP(B11,'pkg Technology'!$A$8:$Z$200,26,FALSE)*100,"00")&amp;"%"</f>
        <v>Total Material cost = 1664.58 + 1150.27 * Number of Units (Cap-Ton); Only units between 6.9 and 106 tons can be claimed with this cost reference; Constant and perUnit costs include contractor markup of 20%</v>
      </c>
      <c r="AK11" s="112"/>
    </row>
    <row r="12" spans="1:37" s="10" customFormat="1">
      <c r="A12" s="112" t="s">
        <v>531</v>
      </c>
      <c r="B12" s="112" t="s">
        <v>179</v>
      </c>
      <c r="C12" s="110" t="s">
        <v>532</v>
      </c>
      <c r="D12" s="112" t="s">
        <v>533</v>
      </c>
      <c r="E12" s="112" t="s">
        <v>534</v>
      </c>
      <c r="F12" s="112" t="s">
        <v>535</v>
      </c>
      <c r="G12" s="112" t="s">
        <v>536</v>
      </c>
      <c r="H12" s="112" t="s">
        <v>116</v>
      </c>
      <c r="I12" s="112" t="s">
        <v>537</v>
      </c>
      <c r="J12" s="112" t="s">
        <v>538</v>
      </c>
      <c r="K12" s="112" t="s">
        <v>539</v>
      </c>
      <c r="L12" s="112" t="s">
        <v>540</v>
      </c>
      <c r="M12" s="112" t="s">
        <v>179</v>
      </c>
      <c r="N12" s="112" t="s">
        <v>531</v>
      </c>
      <c r="O12" s="112" t="s">
        <v>531</v>
      </c>
      <c r="P12" s="112" t="s">
        <v>531</v>
      </c>
      <c r="Q12" s="112" t="s">
        <v>531</v>
      </c>
      <c r="R12" s="112" t="s">
        <v>541</v>
      </c>
      <c r="S12" s="112"/>
      <c r="T12" s="112"/>
      <c r="U12" s="112">
        <f>VLOOKUP(B12,'pkg Technology'!$A$8:$AF$132,30,FALSE)</f>
        <v>1150.27</v>
      </c>
      <c r="V12" s="110"/>
      <c r="W12" s="112">
        <f>VLOOKUP(B12,'pkg Technology'!$A$8:$AF$132,29,FALSE)</f>
        <v>3051.92</v>
      </c>
      <c r="X12" s="112"/>
      <c r="Y12" s="112">
        <f>ROUND(VLOOKUP(B12,'pkg Technology'!$A$8:$AF$132,31,FALSE),1)</f>
        <v>6.9</v>
      </c>
      <c r="Z12" s="112">
        <f>ROUND(VLOOKUP(B12,'pkg Technology'!$A$8:$AF$132,32,FALSE),0)</f>
        <v>106</v>
      </c>
      <c r="AA12" s="112"/>
      <c r="AB12" s="112" t="s">
        <v>542</v>
      </c>
      <c r="AC12" s="112" t="s">
        <v>543</v>
      </c>
      <c r="AD12" s="112" t="s">
        <v>531</v>
      </c>
      <c r="AE12" s="112">
        <v>0</v>
      </c>
      <c r="AF12" s="114">
        <v>42005</v>
      </c>
      <c r="AG12" s="112"/>
      <c r="AH12" s="112" t="s">
        <v>544</v>
      </c>
      <c r="AI12" s="112" t="s">
        <v>545</v>
      </c>
      <c r="AJ12" s="112" t="str">
        <f>"Total Material cost = "&amp;W12&amp;" + "&amp;U12&amp;" * Number of Units ("&amp;D12&amp;"); Only units between "&amp;Y12&amp;" and "&amp;Z12&amp;" tons can be claimed with this cost reference; Constant and perUnit costs include contractor markup of "&amp;TEXT(VLOOKUP(B12,'pkg Technology'!$A$8:$Z$200,26,FALSE)*100,"00")&amp;"%"</f>
        <v>Total Material cost = 3051.92 + 1150.27 * Number of Units (Cap-Ton); Only units between 6.9 and 106 tons can be claimed with this cost reference; Constant and perUnit costs include contractor markup of 20%</v>
      </c>
      <c r="AK12" s="112"/>
    </row>
    <row r="13" spans="1:37" s="10" customFormat="1">
      <c r="A13" s="112" t="s">
        <v>531</v>
      </c>
      <c r="B13" s="112" t="s">
        <v>181</v>
      </c>
      <c r="C13" s="110" t="s">
        <v>532</v>
      </c>
      <c r="D13" s="112" t="s">
        <v>533</v>
      </c>
      <c r="E13" s="112" t="s">
        <v>534</v>
      </c>
      <c r="F13" s="112" t="s">
        <v>535</v>
      </c>
      <c r="G13" s="112" t="s">
        <v>536</v>
      </c>
      <c r="H13" s="112" t="s">
        <v>116</v>
      </c>
      <c r="I13" s="112" t="s">
        <v>537</v>
      </c>
      <c r="J13" s="112" t="s">
        <v>538</v>
      </c>
      <c r="K13" s="112" t="s">
        <v>539</v>
      </c>
      <c r="L13" s="112" t="s">
        <v>540</v>
      </c>
      <c r="M13" s="112" t="s">
        <v>181</v>
      </c>
      <c r="N13" s="112" t="s">
        <v>531</v>
      </c>
      <c r="O13" s="112" t="s">
        <v>531</v>
      </c>
      <c r="P13" s="112" t="s">
        <v>531</v>
      </c>
      <c r="Q13" s="112" t="s">
        <v>531</v>
      </c>
      <c r="R13" s="112" t="s">
        <v>541</v>
      </c>
      <c r="S13" s="112"/>
      <c r="T13" s="112"/>
      <c r="U13" s="112">
        <f>VLOOKUP(B13,'pkg Technology'!$A$8:$AF$132,30,FALSE)</f>
        <v>1150.27</v>
      </c>
      <c r="V13" s="110"/>
      <c r="W13" s="112">
        <f>VLOOKUP(B13,'pkg Technology'!$A$8:$AF$132,29,FALSE)</f>
        <v>4439.26</v>
      </c>
      <c r="X13" s="112"/>
      <c r="Y13" s="112">
        <f>ROUND(VLOOKUP(B13,'pkg Technology'!$A$8:$AF$132,31,FALSE),1)</f>
        <v>6.9</v>
      </c>
      <c r="Z13" s="112">
        <f>ROUND(VLOOKUP(B13,'pkg Technology'!$A$8:$AF$132,32,FALSE),0)</f>
        <v>106</v>
      </c>
      <c r="AA13" s="112"/>
      <c r="AB13" s="112" t="s">
        <v>542</v>
      </c>
      <c r="AC13" s="112" t="s">
        <v>543</v>
      </c>
      <c r="AD13" s="112" t="s">
        <v>531</v>
      </c>
      <c r="AE13" s="112">
        <v>0</v>
      </c>
      <c r="AF13" s="114">
        <v>42005</v>
      </c>
      <c r="AG13" s="112"/>
      <c r="AH13" s="112" t="s">
        <v>544</v>
      </c>
      <c r="AI13" s="112" t="s">
        <v>545</v>
      </c>
      <c r="AJ13" s="112" t="str">
        <f>"Total Material cost = "&amp;W13&amp;" + "&amp;U13&amp;" * Number of Units ("&amp;D13&amp;"); Only units between "&amp;Y13&amp;" and "&amp;Z13&amp;" tons can be claimed with this cost reference; Constant and perUnit costs include contractor markup of "&amp;TEXT(VLOOKUP(B13,'pkg Technology'!$A$8:$Z$200,26,FALSE)*100,"00")&amp;"%"</f>
        <v>Total Material cost = 4439.26 + 1150.27 * Number of Units (Cap-Ton); Only units between 6.9 and 106 tons can be claimed with this cost reference; Constant and perUnit costs include contractor markup of 20%</v>
      </c>
      <c r="AK13" s="112"/>
    </row>
    <row r="14" spans="1:37" s="10" customFormat="1">
      <c r="A14" s="112" t="s">
        <v>531</v>
      </c>
      <c r="B14" s="112" t="s">
        <v>184</v>
      </c>
      <c r="C14" s="110" t="s">
        <v>532</v>
      </c>
      <c r="D14" s="112" t="s">
        <v>533</v>
      </c>
      <c r="E14" s="112" t="s">
        <v>534</v>
      </c>
      <c r="F14" s="112" t="s">
        <v>535</v>
      </c>
      <c r="G14" s="112" t="s">
        <v>536</v>
      </c>
      <c r="H14" s="112" t="s">
        <v>116</v>
      </c>
      <c r="I14" s="112" t="s">
        <v>537</v>
      </c>
      <c r="J14" s="112" t="s">
        <v>538</v>
      </c>
      <c r="K14" s="112" t="s">
        <v>539</v>
      </c>
      <c r="L14" s="112" t="s">
        <v>540</v>
      </c>
      <c r="M14" s="112" t="s">
        <v>184</v>
      </c>
      <c r="N14" s="112" t="s">
        <v>531</v>
      </c>
      <c r="O14" s="112" t="s">
        <v>531</v>
      </c>
      <c r="P14" s="112" t="s">
        <v>531</v>
      </c>
      <c r="Q14" s="112" t="s">
        <v>531</v>
      </c>
      <c r="R14" s="112" t="s">
        <v>541</v>
      </c>
      <c r="S14" s="112"/>
      <c r="T14" s="112"/>
      <c r="U14" s="112">
        <f>VLOOKUP(B14,'pkg Technology'!$A$8:$AF$132,30,FALSE)</f>
        <v>1150.27</v>
      </c>
      <c r="V14" s="110"/>
      <c r="W14" s="112">
        <f>VLOOKUP(B14,'pkg Technology'!$A$8:$AF$132,29,FALSE)</f>
        <v>-2497.42</v>
      </c>
      <c r="X14" s="112"/>
      <c r="Y14" s="112">
        <f>ROUND(VLOOKUP(B14,'pkg Technology'!$A$8:$AF$132,31,FALSE),1)</f>
        <v>6.9</v>
      </c>
      <c r="Z14" s="112">
        <f>ROUND(VLOOKUP(B14,'pkg Technology'!$A$8:$AF$132,32,FALSE),0)</f>
        <v>106</v>
      </c>
      <c r="AA14" s="112"/>
      <c r="AB14" s="112" t="s">
        <v>542</v>
      </c>
      <c r="AC14" s="112" t="s">
        <v>543</v>
      </c>
      <c r="AD14" s="112" t="s">
        <v>531</v>
      </c>
      <c r="AE14" s="112">
        <v>0</v>
      </c>
      <c r="AF14" s="114">
        <v>42005</v>
      </c>
      <c r="AG14" s="112"/>
      <c r="AH14" s="112" t="s">
        <v>544</v>
      </c>
      <c r="AI14" s="112" t="s">
        <v>545</v>
      </c>
      <c r="AJ14" s="112" t="str">
        <f>"Total Material cost = "&amp;W14&amp;" + "&amp;U14&amp;" * Number of Units ("&amp;D14&amp;"); Only units between "&amp;Y14&amp;" and "&amp;Z14&amp;" tons can be claimed with this cost reference; Constant and perUnit costs include contractor markup of "&amp;TEXT(VLOOKUP(B14,'pkg Technology'!$A$8:$Z$200,26,FALSE)*100,"00")&amp;"%"</f>
        <v>Total Material cost = -2497.42 + 1150.27 * Number of Units (Cap-Ton); Only units between 6.9 and 106 tons can be claimed with this cost reference; Constant and perUnit costs include contractor markup of 20%</v>
      </c>
      <c r="AK14" s="112"/>
    </row>
    <row r="15" spans="1:37" s="10" customFormat="1">
      <c r="A15" s="112" t="s">
        <v>531</v>
      </c>
      <c r="B15" s="112" t="s">
        <v>187</v>
      </c>
      <c r="C15" s="110" t="s">
        <v>532</v>
      </c>
      <c r="D15" s="112" t="s">
        <v>533</v>
      </c>
      <c r="E15" s="112" t="s">
        <v>534</v>
      </c>
      <c r="F15" s="112" t="s">
        <v>535</v>
      </c>
      <c r="G15" s="112" t="s">
        <v>536</v>
      </c>
      <c r="H15" s="112" t="s">
        <v>116</v>
      </c>
      <c r="I15" s="112" t="s">
        <v>537</v>
      </c>
      <c r="J15" s="112" t="s">
        <v>538</v>
      </c>
      <c r="K15" s="112" t="s">
        <v>539</v>
      </c>
      <c r="L15" s="112" t="s">
        <v>540</v>
      </c>
      <c r="M15" s="112" t="s">
        <v>187</v>
      </c>
      <c r="N15" s="112" t="s">
        <v>531</v>
      </c>
      <c r="O15" s="112" t="s">
        <v>531</v>
      </c>
      <c r="P15" s="112" t="s">
        <v>531</v>
      </c>
      <c r="Q15" s="112" t="s">
        <v>531</v>
      </c>
      <c r="R15" s="112" t="s">
        <v>541</v>
      </c>
      <c r="S15" s="112"/>
      <c r="T15" s="112"/>
      <c r="U15" s="112">
        <f>VLOOKUP(B15,'pkg Technology'!$A$8:$AF$132,30,FALSE)</f>
        <v>1150.27</v>
      </c>
      <c r="V15" s="110"/>
      <c r="W15" s="112">
        <f>VLOOKUP(B15,'pkg Technology'!$A$8:$AF$132,29,FALSE)</f>
        <v>-277.69</v>
      </c>
      <c r="X15" s="112"/>
      <c r="Y15" s="112">
        <f>ROUND(VLOOKUP(B15,'pkg Technology'!$A$8:$AF$132,31,FALSE),1)</f>
        <v>6.9</v>
      </c>
      <c r="Z15" s="112">
        <f>ROUND(VLOOKUP(B15,'pkg Technology'!$A$8:$AF$132,32,FALSE),0)</f>
        <v>106</v>
      </c>
      <c r="AA15" s="112"/>
      <c r="AB15" s="112" t="s">
        <v>542</v>
      </c>
      <c r="AC15" s="112" t="s">
        <v>543</v>
      </c>
      <c r="AD15" s="112" t="s">
        <v>531</v>
      </c>
      <c r="AE15" s="112">
        <v>0</v>
      </c>
      <c r="AF15" s="114">
        <v>42005</v>
      </c>
      <c r="AG15" s="112"/>
      <c r="AH15" s="112" t="s">
        <v>544</v>
      </c>
      <c r="AI15" s="112" t="s">
        <v>545</v>
      </c>
      <c r="AJ15" s="112" t="str">
        <f>"Total Material cost = "&amp;W15&amp;" + "&amp;U15&amp;" * Number of Units ("&amp;D15&amp;"); Only units between "&amp;Y15&amp;" and "&amp;Z15&amp;" tons can be claimed with this cost reference; Constant and perUnit costs include contractor markup of "&amp;TEXT(VLOOKUP(B15,'pkg Technology'!$A$8:$Z$200,26,FALSE)*100,"00")&amp;"%"</f>
        <v>Total Material cost = -277.69 + 1150.27 * Number of Units (Cap-Ton); Only units between 6.9 and 106 tons can be claimed with this cost reference; Constant and perUnit costs include contractor markup of 20%</v>
      </c>
      <c r="AK15" s="112"/>
    </row>
    <row r="16" spans="1:37" s="10" customFormat="1">
      <c r="A16" s="112" t="s">
        <v>531</v>
      </c>
      <c r="B16" s="112" t="s">
        <v>191</v>
      </c>
      <c r="C16" s="110" t="s">
        <v>532</v>
      </c>
      <c r="D16" s="112" t="s">
        <v>533</v>
      </c>
      <c r="E16" s="112" t="s">
        <v>534</v>
      </c>
      <c r="F16" s="112" t="s">
        <v>535</v>
      </c>
      <c r="G16" s="112" t="s">
        <v>536</v>
      </c>
      <c r="H16" s="112" t="s">
        <v>116</v>
      </c>
      <c r="I16" s="112" t="s">
        <v>537</v>
      </c>
      <c r="J16" s="112" t="s">
        <v>538</v>
      </c>
      <c r="K16" s="112" t="s">
        <v>539</v>
      </c>
      <c r="L16" s="112" t="s">
        <v>540</v>
      </c>
      <c r="M16" s="112" t="s">
        <v>191</v>
      </c>
      <c r="N16" s="112" t="s">
        <v>531</v>
      </c>
      <c r="O16" s="112" t="s">
        <v>531</v>
      </c>
      <c r="P16" s="112" t="s">
        <v>531</v>
      </c>
      <c r="Q16" s="112" t="s">
        <v>531</v>
      </c>
      <c r="R16" s="112" t="s">
        <v>541</v>
      </c>
      <c r="S16" s="112"/>
      <c r="T16" s="112"/>
      <c r="U16" s="112">
        <f>VLOOKUP(B16,'pkg Technology'!$A$8:$AF$132,30,FALSE)</f>
        <v>1150.27</v>
      </c>
      <c r="V16" s="110"/>
      <c r="W16" s="112">
        <f>VLOOKUP(B16,'pkg Technology'!$A$8:$AF$132,29,FALSE)</f>
        <v>1664.58</v>
      </c>
      <c r="X16" s="112"/>
      <c r="Y16" s="112">
        <f>ROUND(VLOOKUP(B16,'pkg Technology'!$A$8:$AF$132,31,FALSE),1)</f>
        <v>6.9</v>
      </c>
      <c r="Z16" s="112">
        <f>ROUND(VLOOKUP(B16,'pkg Technology'!$A$8:$AF$132,32,FALSE),0)</f>
        <v>106</v>
      </c>
      <c r="AA16" s="112"/>
      <c r="AB16" s="112" t="s">
        <v>542</v>
      </c>
      <c r="AC16" s="112" t="s">
        <v>543</v>
      </c>
      <c r="AD16" s="112" t="s">
        <v>531</v>
      </c>
      <c r="AE16" s="112">
        <v>0</v>
      </c>
      <c r="AF16" s="114">
        <v>42005</v>
      </c>
      <c r="AG16" s="112"/>
      <c r="AH16" s="112" t="s">
        <v>544</v>
      </c>
      <c r="AI16" s="112" t="s">
        <v>545</v>
      </c>
      <c r="AJ16" s="112" t="str">
        <f>"Total Material cost = "&amp;W16&amp;" + "&amp;U16&amp;" * Number of Units ("&amp;D16&amp;"); Only units between "&amp;Y16&amp;" and "&amp;Z16&amp;" tons can be claimed with this cost reference; Constant and perUnit costs include contractor markup of "&amp;TEXT(VLOOKUP(B16,'pkg Technology'!$A$8:$Z$200,26,FALSE)*100,"00")&amp;"%"</f>
        <v>Total Material cost = 1664.58 + 1150.27 * Number of Units (Cap-Ton); Only units between 6.9 and 106 tons can be claimed with this cost reference; Constant and perUnit costs include contractor markup of 20%</v>
      </c>
      <c r="AK16" s="112"/>
    </row>
    <row r="17" spans="1:36" s="10" customFormat="1">
      <c r="A17" s="112" t="s">
        <v>531</v>
      </c>
      <c r="B17" s="112" t="s">
        <v>195</v>
      </c>
      <c r="C17" s="110" t="s">
        <v>532</v>
      </c>
      <c r="D17" s="112" t="s">
        <v>533</v>
      </c>
      <c r="E17" s="112" t="s">
        <v>534</v>
      </c>
      <c r="F17" s="112" t="s">
        <v>535</v>
      </c>
      <c r="G17" s="112" t="s">
        <v>536</v>
      </c>
      <c r="H17" s="112" t="s">
        <v>116</v>
      </c>
      <c r="I17" s="112" t="s">
        <v>537</v>
      </c>
      <c r="J17" s="112" t="s">
        <v>538</v>
      </c>
      <c r="K17" s="112" t="s">
        <v>539</v>
      </c>
      <c r="L17" s="112" t="s">
        <v>540</v>
      </c>
      <c r="M17" s="112" t="s">
        <v>195</v>
      </c>
      <c r="N17" s="112" t="s">
        <v>531</v>
      </c>
      <c r="O17" s="112" t="s">
        <v>531</v>
      </c>
      <c r="P17" s="112" t="s">
        <v>531</v>
      </c>
      <c r="Q17" s="112" t="s">
        <v>531</v>
      </c>
      <c r="R17" s="112" t="s">
        <v>541</v>
      </c>
      <c r="S17" s="112"/>
      <c r="T17" s="112"/>
      <c r="U17" s="112">
        <f>VLOOKUP(B17,'pkg Technology'!$A$8:$AF$132,30,FALSE)</f>
        <v>1150.27</v>
      </c>
      <c r="V17" s="110"/>
      <c r="W17" s="112">
        <f>VLOOKUP(B17,'pkg Technology'!$A$8:$AF$132,29,FALSE)</f>
        <v>4439.26</v>
      </c>
      <c r="X17" s="112"/>
      <c r="Y17" s="112">
        <f>ROUND(VLOOKUP(B17,'pkg Technology'!$A$8:$AF$132,31,FALSE),1)</f>
        <v>6.9</v>
      </c>
      <c r="Z17" s="112">
        <f>ROUND(VLOOKUP(B17,'pkg Technology'!$A$8:$AF$132,32,FALSE),0)</f>
        <v>106</v>
      </c>
      <c r="AA17" s="112"/>
      <c r="AB17" s="112" t="s">
        <v>542</v>
      </c>
      <c r="AC17" s="112" t="s">
        <v>543</v>
      </c>
      <c r="AD17" s="112" t="s">
        <v>531</v>
      </c>
      <c r="AE17" s="112">
        <v>0</v>
      </c>
      <c r="AF17" s="114">
        <v>42005</v>
      </c>
      <c r="AG17" s="112"/>
      <c r="AH17" s="112" t="s">
        <v>544</v>
      </c>
      <c r="AI17" s="112" t="s">
        <v>545</v>
      </c>
      <c r="AJ17" s="112" t="str">
        <f>"Total Material cost = "&amp;W17&amp;" + "&amp;U17&amp;" * Number of Units ("&amp;D17&amp;"); Only units between "&amp;Y17&amp;" and "&amp;Z17&amp;" tons can be claimed with this cost reference; Constant and perUnit costs include contractor markup of "&amp;TEXT(VLOOKUP(B17,'pkg Technology'!$A$8:$Z$200,26,FALSE)*100,"00")&amp;"%"</f>
        <v>Total Material cost = 4439.26 + 1150.27 * Number of Units (Cap-Ton); Only units between 6.9 and 106 tons can be claimed with this cost reference; Constant and perUnit costs include contractor markup of 20%</v>
      </c>
    </row>
    <row r="18" spans="1:36" s="10" customFormat="1">
      <c r="A18" s="112" t="s">
        <v>531</v>
      </c>
      <c r="B18" s="112" t="s">
        <v>205</v>
      </c>
      <c r="C18" s="110" t="s">
        <v>532</v>
      </c>
      <c r="D18" s="112" t="s">
        <v>533</v>
      </c>
      <c r="E18" s="112" t="s">
        <v>534</v>
      </c>
      <c r="F18" s="112" t="s">
        <v>535</v>
      </c>
      <c r="G18" s="112" t="s">
        <v>536</v>
      </c>
      <c r="H18" s="112" t="s">
        <v>116</v>
      </c>
      <c r="I18" s="112" t="s">
        <v>537</v>
      </c>
      <c r="J18" s="112" t="s">
        <v>538</v>
      </c>
      <c r="K18" s="112" t="s">
        <v>539</v>
      </c>
      <c r="L18" s="112" t="s">
        <v>540</v>
      </c>
      <c r="M18" s="112" t="s">
        <v>205</v>
      </c>
      <c r="N18" s="112" t="s">
        <v>531</v>
      </c>
      <c r="O18" s="112" t="s">
        <v>531</v>
      </c>
      <c r="P18" s="112" t="s">
        <v>531</v>
      </c>
      <c r="Q18" s="112" t="s">
        <v>531</v>
      </c>
      <c r="R18" s="112" t="s">
        <v>541</v>
      </c>
      <c r="S18" s="112"/>
      <c r="T18" s="112"/>
      <c r="U18" s="112">
        <f>VLOOKUP(B18,'pkg Technology'!$A$8:$AF$132,30,FALSE)</f>
        <v>1150.27</v>
      </c>
      <c r="V18" s="110"/>
      <c r="W18" s="112">
        <f>VLOOKUP(B18,'pkg Technology'!$A$8:$AF$132,29,FALSE)</f>
        <v>-3052.36</v>
      </c>
      <c r="X18" s="112"/>
      <c r="Y18" s="112">
        <f>ROUND(VLOOKUP(B18,'pkg Technology'!$A$8:$AF$132,31,FALSE),1)</f>
        <v>6.9</v>
      </c>
      <c r="Z18" s="112">
        <f>ROUND(VLOOKUP(B18,'pkg Technology'!$A$8:$AF$132,32,FALSE),0)</f>
        <v>106</v>
      </c>
      <c r="AA18" s="112"/>
      <c r="AB18" s="112" t="s">
        <v>542</v>
      </c>
      <c r="AC18" s="112" t="s">
        <v>543</v>
      </c>
      <c r="AD18" s="112" t="s">
        <v>531</v>
      </c>
      <c r="AE18" s="112">
        <v>0</v>
      </c>
      <c r="AF18" s="114">
        <v>42005</v>
      </c>
      <c r="AG18" s="112"/>
      <c r="AH18" s="112" t="s">
        <v>544</v>
      </c>
      <c r="AI18" s="112" t="s">
        <v>545</v>
      </c>
      <c r="AJ18" s="112" t="str">
        <f>"Total Material cost = "&amp;W18&amp;" + "&amp;U18&amp;" * Number of Units ("&amp;D18&amp;"); Only units between "&amp;Y18&amp;" and "&amp;Z18&amp;" tons can be claimed with this cost reference; Constant and perUnit costs include contractor markup of "&amp;TEXT(VLOOKUP(B18,'pkg Technology'!$A$8:$Z$200,26,FALSE)*100,"00")&amp;"%"</f>
        <v>Total Material cost = -3052.36 + 1150.27 * Number of Units (Cap-Ton); Only units between 6.9 and 106 tons can be claimed with this cost reference; Constant and perUnit costs include contractor markup of 20%</v>
      </c>
    </row>
    <row r="19" spans="1:36" s="10" customFormat="1">
      <c r="A19" s="112" t="s">
        <v>531</v>
      </c>
      <c r="B19" s="112" t="s">
        <v>243</v>
      </c>
      <c r="C19" s="110" t="s">
        <v>532</v>
      </c>
      <c r="D19" s="112" t="s">
        <v>533</v>
      </c>
      <c r="E19" s="112" t="s">
        <v>534</v>
      </c>
      <c r="F19" s="112" t="s">
        <v>535</v>
      </c>
      <c r="G19" s="112" t="s">
        <v>536</v>
      </c>
      <c r="H19" s="112" t="s">
        <v>116</v>
      </c>
      <c r="I19" s="112" t="s">
        <v>537</v>
      </c>
      <c r="J19" s="112" t="s">
        <v>538</v>
      </c>
      <c r="K19" s="112" t="s">
        <v>539</v>
      </c>
      <c r="L19" s="112" t="s">
        <v>546</v>
      </c>
      <c r="M19" s="112" t="s">
        <v>243</v>
      </c>
      <c r="N19" s="112" t="s">
        <v>531</v>
      </c>
      <c r="O19" s="112" t="s">
        <v>531</v>
      </c>
      <c r="P19" s="112" t="s">
        <v>531</v>
      </c>
      <c r="Q19" s="112" t="s">
        <v>531</v>
      </c>
      <c r="R19" s="112" t="s">
        <v>541</v>
      </c>
      <c r="S19" s="112"/>
      <c r="T19" s="112"/>
      <c r="U19" s="112">
        <f>VLOOKUP(B19,'pkg Technology'!$A$8:$AF$132,30,FALSE)</f>
        <v>388.05</v>
      </c>
      <c r="V19" s="110"/>
      <c r="W19" s="112">
        <f>VLOOKUP(B19,'pkg Technology'!$A$8:$AF$132,29,FALSE)</f>
        <v>2180.2715712500003</v>
      </c>
      <c r="X19" s="112"/>
      <c r="Y19" s="112">
        <f>ROUND(VLOOKUP(B19,'pkg Technology'!$A$8:$AF$132,31,FALSE),1)</f>
        <v>2</v>
      </c>
      <c r="Z19" s="112">
        <f>ROUND(VLOOKUP(B19,'pkg Technology'!$A$8:$AF$132,32,FALSE),0)</f>
        <v>5</v>
      </c>
      <c r="AA19" s="112"/>
      <c r="AB19" s="112" t="s">
        <v>542</v>
      </c>
      <c r="AC19" s="112" t="s">
        <v>543</v>
      </c>
      <c r="AD19" s="112" t="s">
        <v>531</v>
      </c>
      <c r="AE19" s="112">
        <v>0</v>
      </c>
      <c r="AF19" s="114">
        <v>42005</v>
      </c>
      <c r="AG19" s="112"/>
      <c r="AH19" s="112" t="s">
        <v>544</v>
      </c>
      <c r="AI19" s="112" t="s">
        <v>545</v>
      </c>
      <c r="AJ19" s="112" t="str">
        <f>"Total Material cost = "&amp;W19&amp;" + "&amp;U19&amp;" * Number of Units ("&amp;D19&amp;"); Only units between "&amp;Y19&amp;" and "&amp;Z19&amp;" tons can be claimed with this cost reference; Constant and perUnit costs include contractor markup of "&amp;TEXT(VLOOKUP(B19,'pkg Technology'!$A$8:$Z$200,26,FALSE)*100,"00")&amp;"%"</f>
        <v>Total Material cost = 2180.27157125 + 388.05 * Number of Units (Cap-Ton); Only units between 2 and 5 tons can be claimed with this cost reference; Constant and perUnit costs include contractor markup of 25%</v>
      </c>
    </row>
    <row r="20" spans="1:36" s="10" customFormat="1">
      <c r="A20" s="112" t="s">
        <v>531</v>
      </c>
      <c r="B20" s="112" t="s">
        <v>245</v>
      </c>
      <c r="C20" s="110" t="s">
        <v>532</v>
      </c>
      <c r="D20" s="112" t="s">
        <v>533</v>
      </c>
      <c r="E20" s="112" t="s">
        <v>534</v>
      </c>
      <c r="F20" s="112" t="s">
        <v>535</v>
      </c>
      <c r="G20" s="112" t="s">
        <v>536</v>
      </c>
      <c r="H20" s="112" t="s">
        <v>116</v>
      </c>
      <c r="I20" s="112" t="s">
        <v>537</v>
      </c>
      <c r="J20" s="112" t="s">
        <v>538</v>
      </c>
      <c r="K20" s="112" t="s">
        <v>539</v>
      </c>
      <c r="L20" s="112" t="s">
        <v>546</v>
      </c>
      <c r="M20" s="112" t="s">
        <v>245</v>
      </c>
      <c r="N20" s="112" t="s">
        <v>531</v>
      </c>
      <c r="O20" s="112" t="s">
        <v>531</v>
      </c>
      <c r="P20" s="112" t="s">
        <v>531</v>
      </c>
      <c r="Q20" s="112" t="s">
        <v>531</v>
      </c>
      <c r="R20" s="112" t="s">
        <v>541</v>
      </c>
      <c r="S20" s="112"/>
      <c r="T20" s="112"/>
      <c r="U20" s="112">
        <f>VLOOKUP(B20,'pkg Technology'!$A$8:$AF$132,30,FALSE)</f>
        <v>388.05</v>
      </c>
      <c r="V20" s="110"/>
      <c r="W20" s="112">
        <f>VLOOKUP(B20,'pkg Technology'!$A$8:$AF$132,29,FALSE)</f>
        <v>2542.0340712500006</v>
      </c>
      <c r="X20" s="112"/>
      <c r="Y20" s="112">
        <f>ROUND(VLOOKUP(B20,'pkg Technology'!$A$8:$AF$132,31,FALSE),1)</f>
        <v>2</v>
      </c>
      <c r="Z20" s="112">
        <f>ROUND(VLOOKUP(B20,'pkg Technology'!$A$8:$AF$132,32,FALSE),0)</f>
        <v>5</v>
      </c>
      <c r="AA20" s="112"/>
      <c r="AB20" s="112" t="s">
        <v>542</v>
      </c>
      <c r="AC20" s="112" t="s">
        <v>543</v>
      </c>
      <c r="AD20" s="112" t="s">
        <v>531</v>
      </c>
      <c r="AE20" s="112">
        <v>0</v>
      </c>
      <c r="AF20" s="114">
        <v>42005</v>
      </c>
      <c r="AG20" s="112"/>
      <c r="AH20" s="112" t="s">
        <v>544</v>
      </c>
      <c r="AI20" s="112" t="s">
        <v>545</v>
      </c>
      <c r="AJ20" s="112" t="str">
        <f>"Total Material cost = "&amp;W20&amp;" + "&amp;U20&amp;" * Number of Units ("&amp;D20&amp;"); Only units between "&amp;Y20&amp;" and "&amp;Z20&amp;" tons can be claimed with this cost reference; Constant and perUnit costs include contractor markup of "&amp;TEXT(VLOOKUP(B20,'pkg Technology'!$A$8:$Z$200,26,FALSE)*100,"00")&amp;"%"</f>
        <v>Total Material cost = 2542.03407125 + 388.05 * Number of Units (Cap-Ton); Only units between 2 and 5 tons can be claimed with this cost reference; Constant and perUnit costs include contractor markup of 25%</v>
      </c>
    </row>
    <row r="21" spans="1:36" s="10" customFormat="1">
      <c r="A21" s="112" t="s">
        <v>531</v>
      </c>
      <c r="B21" s="112" t="s">
        <v>247</v>
      </c>
      <c r="C21" s="110" t="s">
        <v>532</v>
      </c>
      <c r="D21" s="112" t="s">
        <v>533</v>
      </c>
      <c r="E21" s="112" t="s">
        <v>534</v>
      </c>
      <c r="F21" s="112" t="s">
        <v>535</v>
      </c>
      <c r="G21" s="112" t="s">
        <v>536</v>
      </c>
      <c r="H21" s="112" t="s">
        <v>116</v>
      </c>
      <c r="I21" s="112" t="s">
        <v>537</v>
      </c>
      <c r="J21" s="112" t="s">
        <v>538</v>
      </c>
      <c r="K21" s="112" t="s">
        <v>539</v>
      </c>
      <c r="L21" s="112" t="s">
        <v>546</v>
      </c>
      <c r="M21" s="112" t="s">
        <v>247</v>
      </c>
      <c r="N21" s="112" t="s">
        <v>531</v>
      </c>
      <c r="O21" s="112" t="s">
        <v>531</v>
      </c>
      <c r="P21" s="112" t="s">
        <v>531</v>
      </c>
      <c r="Q21" s="112" t="s">
        <v>531</v>
      </c>
      <c r="R21" s="112" t="s">
        <v>541</v>
      </c>
      <c r="S21" s="112"/>
      <c r="T21" s="112"/>
      <c r="U21" s="112">
        <f>VLOOKUP(B21,'pkg Technology'!$A$8:$AF$132,30,FALSE)</f>
        <v>388.05</v>
      </c>
      <c r="V21" s="110"/>
      <c r="W21" s="112">
        <f>VLOOKUP(B21,'pkg Technology'!$A$8:$AF$132,29,FALSE)</f>
        <v>2903.7965712500004</v>
      </c>
      <c r="X21" s="112"/>
      <c r="Y21" s="112">
        <f>ROUND(VLOOKUP(B21,'pkg Technology'!$A$8:$AF$132,31,FALSE),1)</f>
        <v>2</v>
      </c>
      <c r="Z21" s="112">
        <f>ROUND(VLOOKUP(B21,'pkg Technology'!$A$8:$AF$132,32,FALSE),0)</f>
        <v>5</v>
      </c>
      <c r="AA21" s="112"/>
      <c r="AB21" s="112" t="s">
        <v>542</v>
      </c>
      <c r="AC21" s="112" t="s">
        <v>543</v>
      </c>
      <c r="AD21" s="112" t="s">
        <v>531</v>
      </c>
      <c r="AE21" s="112">
        <v>0</v>
      </c>
      <c r="AF21" s="114">
        <v>42005</v>
      </c>
      <c r="AG21" s="112"/>
      <c r="AH21" s="112" t="s">
        <v>544</v>
      </c>
      <c r="AI21" s="112" t="s">
        <v>545</v>
      </c>
      <c r="AJ21" s="112" t="str">
        <f>"Total Material cost = "&amp;W21&amp;" + "&amp;U21&amp;" * Number of Units ("&amp;D21&amp;"); Only units between "&amp;Y21&amp;" and "&amp;Z21&amp;" tons can be claimed with this cost reference; Constant and perUnit costs include contractor markup of "&amp;TEXT(VLOOKUP(B21,'pkg Technology'!$A$8:$Z$200,26,FALSE)*100,"00")&amp;"%"</f>
        <v>Total Material cost = 2903.79657125 + 388.05 * Number of Units (Cap-Ton); Only units between 2 and 5 tons can be claimed with this cost reference; Constant and perUnit costs include contractor markup of 25%</v>
      </c>
    </row>
    <row r="22" spans="1:36" s="10" customFormat="1">
      <c r="A22" s="112" t="s">
        <v>531</v>
      </c>
      <c r="B22" s="112" t="s">
        <v>249</v>
      </c>
      <c r="C22" s="110" t="s">
        <v>532</v>
      </c>
      <c r="D22" s="112" t="s">
        <v>533</v>
      </c>
      <c r="E22" s="112" t="s">
        <v>534</v>
      </c>
      <c r="F22" s="112" t="s">
        <v>535</v>
      </c>
      <c r="G22" s="112" t="s">
        <v>536</v>
      </c>
      <c r="H22" s="112" t="s">
        <v>116</v>
      </c>
      <c r="I22" s="112" t="s">
        <v>537</v>
      </c>
      <c r="J22" s="112" t="s">
        <v>538</v>
      </c>
      <c r="K22" s="112" t="s">
        <v>539</v>
      </c>
      <c r="L22" s="112" t="s">
        <v>546</v>
      </c>
      <c r="M22" s="112" t="s">
        <v>249</v>
      </c>
      <c r="N22" s="112" t="s">
        <v>531</v>
      </c>
      <c r="O22" s="112" t="s">
        <v>531</v>
      </c>
      <c r="P22" s="112" t="s">
        <v>531</v>
      </c>
      <c r="Q22" s="112" t="s">
        <v>531</v>
      </c>
      <c r="R22" s="112" t="s">
        <v>541</v>
      </c>
      <c r="S22" s="112"/>
      <c r="T22" s="112"/>
      <c r="U22" s="112">
        <f>VLOOKUP(B22,'pkg Technology'!$A$8:$AF$132,30,FALSE)</f>
        <v>388.05</v>
      </c>
      <c r="V22" s="110"/>
      <c r="W22" s="112">
        <f>VLOOKUP(B22,'pkg Technology'!$A$8:$AF$132,29,FALSE)</f>
        <v>3265.5590712500002</v>
      </c>
      <c r="X22" s="112"/>
      <c r="Y22" s="112">
        <f>ROUND(VLOOKUP(B22,'pkg Technology'!$A$8:$AF$132,31,FALSE),1)</f>
        <v>2</v>
      </c>
      <c r="Z22" s="112">
        <f>ROUND(VLOOKUP(B22,'pkg Technology'!$A$8:$AF$132,32,FALSE),0)</f>
        <v>5</v>
      </c>
      <c r="AA22" s="112"/>
      <c r="AB22" s="112" t="s">
        <v>542</v>
      </c>
      <c r="AC22" s="112" t="s">
        <v>543</v>
      </c>
      <c r="AD22" s="112" t="s">
        <v>531</v>
      </c>
      <c r="AE22" s="112">
        <v>0</v>
      </c>
      <c r="AF22" s="114">
        <v>42005</v>
      </c>
      <c r="AG22" s="112"/>
      <c r="AH22" s="112" t="s">
        <v>544</v>
      </c>
      <c r="AI22" s="112" t="s">
        <v>545</v>
      </c>
      <c r="AJ22" s="112" t="str">
        <f>"Total Material cost = "&amp;W22&amp;" + "&amp;U22&amp;" * Number of Units ("&amp;D22&amp;"); Only units between "&amp;Y22&amp;" and "&amp;Z22&amp;" tons can be claimed with this cost reference; Constant and perUnit costs include contractor markup of "&amp;TEXT(VLOOKUP(B22,'pkg Technology'!$A$8:$Z$200,26,FALSE)*100,"00")&amp;"%"</f>
        <v>Total Material cost = 3265.55907125 + 388.05 * Number of Units (Cap-Ton); Only units between 2 and 5 tons can be claimed with this cost reference; Constant and perUnit costs include contractor markup of 25%</v>
      </c>
    </row>
    <row r="23" spans="1:36" s="10" customFormat="1">
      <c r="A23" s="112" t="s">
        <v>531</v>
      </c>
      <c r="B23" s="112" t="s">
        <v>251</v>
      </c>
      <c r="C23" s="110" t="s">
        <v>532</v>
      </c>
      <c r="D23" s="112" t="s">
        <v>533</v>
      </c>
      <c r="E23" s="112" t="s">
        <v>534</v>
      </c>
      <c r="F23" s="112" t="s">
        <v>535</v>
      </c>
      <c r="G23" s="112" t="s">
        <v>536</v>
      </c>
      <c r="H23" s="112" t="s">
        <v>116</v>
      </c>
      <c r="I23" s="112" t="s">
        <v>537</v>
      </c>
      <c r="J23" s="112" t="s">
        <v>538</v>
      </c>
      <c r="K23" s="112" t="s">
        <v>539</v>
      </c>
      <c r="L23" s="112" t="s">
        <v>546</v>
      </c>
      <c r="M23" s="112" t="s">
        <v>251</v>
      </c>
      <c r="N23" s="112" t="s">
        <v>531</v>
      </c>
      <c r="O23" s="112" t="s">
        <v>531</v>
      </c>
      <c r="P23" s="112" t="s">
        <v>531</v>
      </c>
      <c r="Q23" s="112" t="s">
        <v>531</v>
      </c>
      <c r="R23" s="112" t="s">
        <v>541</v>
      </c>
      <c r="S23" s="112"/>
      <c r="T23" s="112"/>
      <c r="U23" s="112">
        <f>VLOOKUP(B23,'pkg Technology'!$A$8:$AF$132,30,FALSE)</f>
        <v>388.05</v>
      </c>
      <c r="V23" s="110"/>
      <c r="W23" s="112">
        <f>VLOOKUP(B23,'pkg Technology'!$A$8:$AF$132,29,FALSE)</f>
        <v>3627.32157125</v>
      </c>
      <c r="X23" s="112"/>
      <c r="Y23" s="112">
        <f>ROUND(VLOOKUP(B23,'pkg Technology'!$A$8:$AF$132,31,FALSE),1)</f>
        <v>2</v>
      </c>
      <c r="Z23" s="112">
        <f>ROUND(VLOOKUP(B23,'pkg Technology'!$A$8:$AF$132,32,FALSE),0)</f>
        <v>5</v>
      </c>
      <c r="AA23" s="112"/>
      <c r="AB23" s="112" t="s">
        <v>542</v>
      </c>
      <c r="AC23" s="112" t="s">
        <v>543</v>
      </c>
      <c r="AD23" s="112" t="s">
        <v>531</v>
      </c>
      <c r="AE23" s="112">
        <v>0</v>
      </c>
      <c r="AF23" s="114">
        <v>42005</v>
      </c>
      <c r="AG23" s="112"/>
      <c r="AH23" s="112" t="s">
        <v>544</v>
      </c>
      <c r="AI23" s="112" t="s">
        <v>545</v>
      </c>
      <c r="AJ23" s="112" t="str">
        <f>"Total Material cost = "&amp;W23&amp;" + "&amp;U23&amp;" * Number of Units ("&amp;D23&amp;"); Only units between "&amp;Y23&amp;" and "&amp;Z23&amp;" tons can be claimed with this cost reference; Constant and perUnit costs include contractor markup of "&amp;TEXT(VLOOKUP(B23,'pkg Technology'!$A$8:$Z$200,26,FALSE)*100,"00")&amp;"%"</f>
        <v>Total Material cost = 3627.32157125 + 388.05 * Number of Units (Cap-Ton); Only units between 2 and 5 tons can be claimed with this cost reference; Constant and perUnit costs include contractor markup of 25%</v>
      </c>
    </row>
    <row r="24" spans="1:36" s="10" customFormat="1">
      <c r="A24" s="112" t="s">
        <v>531</v>
      </c>
      <c r="B24" s="112" t="s">
        <v>211</v>
      </c>
      <c r="C24" s="110" t="s">
        <v>532</v>
      </c>
      <c r="D24" s="112" t="s">
        <v>533</v>
      </c>
      <c r="E24" s="112" t="s">
        <v>534</v>
      </c>
      <c r="F24" s="112" t="s">
        <v>535</v>
      </c>
      <c r="G24" s="112" t="s">
        <v>536</v>
      </c>
      <c r="H24" s="112" t="s">
        <v>116</v>
      </c>
      <c r="I24" s="112" t="s">
        <v>537</v>
      </c>
      <c r="J24" s="112" t="s">
        <v>538</v>
      </c>
      <c r="K24" s="112" t="s">
        <v>539</v>
      </c>
      <c r="L24" s="112" t="s">
        <v>540</v>
      </c>
      <c r="M24" s="112" t="s">
        <v>211</v>
      </c>
      <c r="N24" s="112" t="s">
        <v>531</v>
      </c>
      <c r="O24" s="112" t="s">
        <v>531</v>
      </c>
      <c r="P24" s="112" t="s">
        <v>531</v>
      </c>
      <c r="Q24" s="112" t="s">
        <v>531</v>
      </c>
      <c r="R24" s="112" t="s">
        <v>541</v>
      </c>
      <c r="S24" s="112"/>
      <c r="T24" s="112"/>
      <c r="U24" s="112">
        <f>VLOOKUP(B24,'pkg Technology'!$A$8:$AF$132,30,FALSE)</f>
        <v>1150.27</v>
      </c>
      <c r="V24" s="110"/>
      <c r="W24" s="112">
        <f>VLOOKUP(B24,'pkg Technology'!$A$8:$AF$132,29,FALSE)</f>
        <v>277.25</v>
      </c>
      <c r="X24" s="112"/>
      <c r="Y24" s="112">
        <f>ROUND(VLOOKUP(B24,'pkg Technology'!$A$8:$AF$132,31,FALSE),1)</f>
        <v>6.9</v>
      </c>
      <c r="Z24" s="112">
        <f>ROUND(VLOOKUP(B24,'pkg Technology'!$A$8:$AF$132,32,FALSE),0)</f>
        <v>106</v>
      </c>
      <c r="AA24" s="112"/>
      <c r="AB24" s="112" t="s">
        <v>542</v>
      </c>
      <c r="AC24" s="112" t="s">
        <v>543</v>
      </c>
      <c r="AD24" s="112" t="s">
        <v>531</v>
      </c>
      <c r="AE24" s="112">
        <v>0</v>
      </c>
      <c r="AF24" s="114">
        <v>42005</v>
      </c>
      <c r="AG24" s="112"/>
      <c r="AH24" s="112" t="s">
        <v>544</v>
      </c>
      <c r="AI24" s="112" t="s">
        <v>545</v>
      </c>
      <c r="AJ24" s="112" t="str">
        <f>"Total Material cost = "&amp;W24&amp;" + "&amp;U24&amp;" * Number of Units ("&amp;D24&amp;"); Only units between "&amp;Y24&amp;" and "&amp;Z24&amp;" tons can be claimed with this cost reference; Constant and perUnit costs include contractor markup of "&amp;TEXT(VLOOKUP(B24,'pkg Technology'!$A$8:$Z$200,26,FALSE)*100,"00")&amp;"%"</f>
        <v>Total Material cost = 277.25 + 1150.27 * Number of Units (Cap-Ton); Only units between 6.9 and 106 tons can be claimed with this cost reference; Constant and perUnit costs include contractor markup of 20%</v>
      </c>
    </row>
    <row r="25" spans="1:36" s="10" customFormat="1">
      <c r="A25" s="112" t="s">
        <v>531</v>
      </c>
      <c r="B25" s="112" t="s">
        <v>213</v>
      </c>
      <c r="C25" s="110" t="s">
        <v>532</v>
      </c>
      <c r="D25" s="112" t="s">
        <v>533</v>
      </c>
      <c r="E25" s="112" t="s">
        <v>534</v>
      </c>
      <c r="F25" s="112" t="s">
        <v>535</v>
      </c>
      <c r="G25" s="112" t="s">
        <v>536</v>
      </c>
      <c r="H25" s="112" t="s">
        <v>116</v>
      </c>
      <c r="I25" s="112" t="s">
        <v>537</v>
      </c>
      <c r="J25" s="112" t="s">
        <v>538</v>
      </c>
      <c r="K25" s="112" t="s">
        <v>539</v>
      </c>
      <c r="L25" s="112" t="s">
        <v>540</v>
      </c>
      <c r="M25" s="112" t="s">
        <v>213</v>
      </c>
      <c r="N25" s="112" t="s">
        <v>531</v>
      </c>
      <c r="O25" s="112" t="s">
        <v>531</v>
      </c>
      <c r="P25" s="112" t="s">
        <v>531</v>
      </c>
      <c r="Q25" s="112" t="s">
        <v>531</v>
      </c>
      <c r="R25" s="112" t="s">
        <v>541</v>
      </c>
      <c r="S25" s="112"/>
      <c r="T25" s="112"/>
      <c r="U25" s="112">
        <f>VLOOKUP(B25,'pkg Technology'!$A$8:$AF$132,30,FALSE)</f>
        <v>1150.27</v>
      </c>
      <c r="V25" s="110"/>
      <c r="W25" s="112">
        <f>VLOOKUP(B25,'pkg Technology'!$A$8:$AF$132,29,FALSE)</f>
        <v>1664.58</v>
      </c>
      <c r="X25" s="112"/>
      <c r="Y25" s="112">
        <f>ROUND(VLOOKUP(B25,'pkg Technology'!$A$8:$AF$132,31,FALSE),1)</f>
        <v>6.9</v>
      </c>
      <c r="Z25" s="112">
        <f>ROUND(VLOOKUP(B25,'pkg Technology'!$A$8:$AF$132,32,FALSE),0)</f>
        <v>106</v>
      </c>
      <c r="AA25" s="112"/>
      <c r="AB25" s="112" t="s">
        <v>542</v>
      </c>
      <c r="AC25" s="112" t="s">
        <v>543</v>
      </c>
      <c r="AD25" s="112" t="s">
        <v>531</v>
      </c>
      <c r="AE25" s="112">
        <v>0</v>
      </c>
      <c r="AF25" s="114">
        <v>42005</v>
      </c>
      <c r="AG25" s="112"/>
      <c r="AH25" s="112" t="s">
        <v>544</v>
      </c>
      <c r="AI25" s="112" t="s">
        <v>545</v>
      </c>
      <c r="AJ25" s="112" t="str">
        <f>"Total Material cost = "&amp;W25&amp;" + "&amp;U25&amp;" * Number of Units ("&amp;D25&amp;"); Only units between "&amp;Y25&amp;" and "&amp;Z25&amp;" tons can be claimed with this cost reference; Constant and perUnit costs include contractor markup of "&amp;TEXT(VLOOKUP(B25,'pkg Technology'!$A$8:$Z$200,26,FALSE)*100,"00")&amp;"%"</f>
        <v>Total Material cost = 1664.58 + 1150.27 * Number of Units (Cap-Ton); Only units between 6.9 and 106 tons can be claimed with this cost reference; Constant and perUnit costs include contractor markup of 20%</v>
      </c>
    </row>
    <row r="26" spans="1:36" s="10" customFormat="1">
      <c r="A26" s="112" t="s">
        <v>531</v>
      </c>
      <c r="B26" s="112" t="s">
        <v>215</v>
      </c>
      <c r="C26" s="110" t="s">
        <v>532</v>
      </c>
      <c r="D26" s="112" t="s">
        <v>533</v>
      </c>
      <c r="E26" s="112" t="s">
        <v>534</v>
      </c>
      <c r="F26" s="112" t="s">
        <v>535</v>
      </c>
      <c r="G26" s="112" t="s">
        <v>536</v>
      </c>
      <c r="H26" s="112" t="s">
        <v>116</v>
      </c>
      <c r="I26" s="112" t="s">
        <v>537</v>
      </c>
      <c r="J26" s="112" t="s">
        <v>538</v>
      </c>
      <c r="K26" s="112" t="s">
        <v>539</v>
      </c>
      <c r="L26" s="112" t="s">
        <v>540</v>
      </c>
      <c r="M26" s="112" t="s">
        <v>215</v>
      </c>
      <c r="N26" s="112" t="s">
        <v>531</v>
      </c>
      <c r="O26" s="112" t="s">
        <v>531</v>
      </c>
      <c r="P26" s="112" t="s">
        <v>531</v>
      </c>
      <c r="Q26" s="112" t="s">
        <v>531</v>
      </c>
      <c r="R26" s="112" t="s">
        <v>541</v>
      </c>
      <c r="S26" s="112"/>
      <c r="T26" s="112"/>
      <c r="U26" s="112">
        <f>VLOOKUP(B26,'pkg Technology'!$A$8:$AF$132,30,FALSE)</f>
        <v>1150.27</v>
      </c>
      <c r="V26" s="110"/>
      <c r="W26" s="112">
        <f>VLOOKUP(B26,'pkg Technology'!$A$8:$AF$132,29,FALSE)</f>
        <v>3051.92</v>
      </c>
      <c r="X26" s="112"/>
      <c r="Y26" s="112">
        <f>ROUND(VLOOKUP(B26,'pkg Technology'!$A$8:$AF$132,31,FALSE),1)</f>
        <v>6.9</v>
      </c>
      <c r="Z26" s="112">
        <f>ROUND(VLOOKUP(B26,'pkg Technology'!$A$8:$AF$132,32,FALSE),0)</f>
        <v>106</v>
      </c>
      <c r="AA26" s="112"/>
      <c r="AB26" s="112" t="s">
        <v>542</v>
      </c>
      <c r="AC26" s="112" t="s">
        <v>543</v>
      </c>
      <c r="AD26" s="112" t="s">
        <v>531</v>
      </c>
      <c r="AE26" s="112">
        <v>0</v>
      </c>
      <c r="AF26" s="114">
        <v>42005</v>
      </c>
      <c r="AG26" s="112"/>
      <c r="AH26" s="112" t="s">
        <v>544</v>
      </c>
      <c r="AI26" s="112" t="s">
        <v>545</v>
      </c>
      <c r="AJ26" s="112" t="str">
        <f>"Total Material cost = "&amp;W26&amp;" + "&amp;U26&amp;" * Number of Units ("&amp;D26&amp;"); Only units between "&amp;Y26&amp;" and "&amp;Z26&amp;" tons can be claimed with this cost reference; Constant and perUnit costs include contractor markup of "&amp;TEXT(VLOOKUP(B26,'pkg Technology'!$A$8:$Z$200,26,FALSE)*100,"00")&amp;"%"</f>
        <v>Total Material cost = 3051.92 + 1150.27 * Number of Units (Cap-Ton); Only units between 6.9 and 106 tons can be claimed with this cost reference; Constant and perUnit costs include contractor markup of 20%</v>
      </c>
    </row>
    <row r="27" spans="1:36" s="10" customFormat="1">
      <c r="A27" s="112" t="s">
        <v>531</v>
      </c>
      <c r="B27" s="112" t="s">
        <v>217</v>
      </c>
      <c r="C27" s="110" t="s">
        <v>532</v>
      </c>
      <c r="D27" s="112" t="s">
        <v>533</v>
      </c>
      <c r="E27" s="112" t="s">
        <v>534</v>
      </c>
      <c r="F27" s="112" t="s">
        <v>535</v>
      </c>
      <c r="G27" s="112" t="s">
        <v>536</v>
      </c>
      <c r="H27" s="112" t="s">
        <v>116</v>
      </c>
      <c r="I27" s="112" t="s">
        <v>537</v>
      </c>
      <c r="J27" s="112" t="s">
        <v>538</v>
      </c>
      <c r="K27" s="112" t="s">
        <v>539</v>
      </c>
      <c r="L27" s="112" t="s">
        <v>540</v>
      </c>
      <c r="M27" s="112" t="s">
        <v>217</v>
      </c>
      <c r="N27" s="112" t="s">
        <v>531</v>
      </c>
      <c r="O27" s="112" t="s">
        <v>531</v>
      </c>
      <c r="P27" s="112" t="s">
        <v>531</v>
      </c>
      <c r="Q27" s="112" t="s">
        <v>531</v>
      </c>
      <c r="R27" s="112" t="s">
        <v>541</v>
      </c>
      <c r="S27" s="112"/>
      <c r="T27" s="112"/>
      <c r="U27" s="112">
        <f>VLOOKUP(B27,'pkg Technology'!$A$8:$AF$132,30,FALSE)</f>
        <v>1150.27</v>
      </c>
      <c r="V27" s="110"/>
      <c r="W27" s="112">
        <f>VLOOKUP(B27,'pkg Technology'!$A$8:$AF$132,29,FALSE)</f>
        <v>5826.59</v>
      </c>
      <c r="X27" s="112"/>
      <c r="Y27" s="112">
        <f>ROUND(VLOOKUP(B27,'pkg Technology'!$A$8:$AF$132,31,FALSE),1)</f>
        <v>6.9</v>
      </c>
      <c r="Z27" s="112">
        <f>ROUND(VLOOKUP(B27,'pkg Technology'!$A$8:$AF$132,32,FALSE),0)</f>
        <v>106</v>
      </c>
      <c r="AA27" s="112"/>
      <c r="AB27" s="112" t="s">
        <v>542</v>
      </c>
      <c r="AC27" s="112" t="s">
        <v>543</v>
      </c>
      <c r="AD27" s="112" t="s">
        <v>531</v>
      </c>
      <c r="AE27" s="112">
        <v>0</v>
      </c>
      <c r="AF27" s="114">
        <v>42005</v>
      </c>
      <c r="AG27" s="112"/>
      <c r="AH27" s="112" t="s">
        <v>544</v>
      </c>
      <c r="AI27" s="112" t="s">
        <v>545</v>
      </c>
      <c r="AJ27" s="112" t="str">
        <f>"Total Material cost = "&amp;W27&amp;" + "&amp;U27&amp;" * Number of Units ("&amp;D27&amp;"); Only units between "&amp;Y27&amp;" and "&amp;Z27&amp;" tons can be claimed with this cost reference; Constant and perUnit costs include contractor markup of "&amp;TEXT(VLOOKUP(B27,'pkg Technology'!$A$8:$Z$200,26,FALSE)*100,"00")&amp;"%"</f>
        <v>Total Material cost = 5826.59 + 1150.27 * Number of Units (Cap-Ton); Only units between 6.9 and 106 tons can be claimed with this cost reference; Constant and perUnit costs include contractor markup of 20%</v>
      </c>
    </row>
    <row r="28" spans="1:36" s="10" customFormat="1">
      <c r="A28" s="112" t="s">
        <v>531</v>
      </c>
      <c r="B28" s="112" t="s">
        <v>219</v>
      </c>
      <c r="C28" s="110" t="s">
        <v>532</v>
      </c>
      <c r="D28" s="112" t="s">
        <v>533</v>
      </c>
      <c r="E28" s="112" t="s">
        <v>534</v>
      </c>
      <c r="F28" s="112" t="s">
        <v>535</v>
      </c>
      <c r="G28" s="112" t="s">
        <v>536</v>
      </c>
      <c r="H28" s="112" t="s">
        <v>116</v>
      </c>
      <c r="I28" s="112" t="s">
        <v>537</v>
      </c>
      <c r="J28" s="112" t="s">
        <v>538</v>
      </c>
      <c r="K28" s="112" t="s">
        <v>539</v>
      </c>
      <c r="L28" s="112" t="s">
        <v>540</v>
      </c>
      <c r="M28" s="112" t="s">
        <v>219</v>
      </c>
      <c r="N28" s="112" t="s">
        <v>531</v>
      </c>
      <c r="O28" s="112" t="s">
        <v>531</v>
      </c>
      <c r="P28" s="112" t="s">
        <v>531</v>
      </c>
      <c r="Q28" s="112" t="s">
        <v>531</v>
      </c>
      <c r="R28" s="112" t="s">
        <v>541</v>
      </c>
      <c r="S28" s="112"/>
      <c r="T28" s="112"/>
      <c r="U28" s="112">
        <f>VLOOKUP(B28,'pkg Technology'!$A$8:$AF$132,30,FALSE)</f>
        <v>1150.27</v>
      </c>
      <c r="V28" s="110"/>
      <c r="W28" s="112">
        <f>VLOOKUP(B28,'pkg Technology'!$A$8:$AF$132,29,FALSE)</f>
        <v>-1942.49</v>
      </c>
      <c r="X28" s="112"/>
      <c r="Y28" s="112">
        <f>ROUND(VLOOKUP(B28,'pkg Technology'!$A$8:$AF$132,31,FALSE),1)</f>
        <v>6.9</v>
      </c>
      <c r="Z28" s="112">
        <f>ROUND(VLOOKUP(B28,'pkg Technology'!$A$8:$AF$132,32,FALSE),0)</f>
        <v>106</v>
      </c>
      <c r="AA28" s="112"/>
      <c r="AB28" s="112" t="s">
        <v>542</v>
      </c>
      <c r="AC28" s="112" t="s">
        <v>543</v>
      </c>
      <c r="AD28" s="112" t="s">
        <v>531</v>
      </c>
      <c r="AE28" s="112">
        <v>0</v>
      </c>
      <c r="AF28" s="114">
        <v>42005</v>
      </c>
      <c r="AG28" s="112"/>
      <c r="AH28" s="112" t="s">
        <v>544</v>
      </c>
      <c r="AI28" s="112" t="s">
        <v>545</v>
      </c>
      <c r="AJ28" s="112" t="str">
        <f>"Total Material cost = "&amp;W28&amp;" + "&amp;U28&amp;" * Number of Units ("&amp;D28&amp;"); Only units between "&amp;Y28&amp;" and "&amp;Z28&amp;" tons can be claimed with this cost reference; Constant and perUnit costs include contractor markup of "&amp;TEXT(VLOOKUP(B28,'pkg Technology'!$A$8:$Z$200,26,FALSE)*100,"00")&amp;"%"</f>
        <v>Total Material cost = -1942.49 + 1150.27 * Number of Units (Cap-Ton); Only units between 6.9 and 106 tons can be claimed with this cost reference; Constant and perUnit costs include contractor markup of 20%</v>
      </c>
    </row>
    <row r="29" spans="1:36" s="10" customFormat="1">
      <c r="A29" s="112" t="s">
        <v>531</v>
      </c>
      <c r="B29" s="112" t="s">
        <v>223</v>
      </c>
      <c r="C29" s="110" t="s">
        <v>532</v>
      </c>
      <c r="D29" s="112" t="s">
        <v>533</v>
      </c>
      <c r="E29" s="112" t="s">
        <v>534</v>
      </c>
      <c r="F29" s="112" t="s">
        <v>535</v>
      </c>
      <c r="G29" s="112" t="s">
        <v>536</v>
      </c>
      <c r="H29" s="112" t="s">
        <v>116</v>
      </c>
      <c r="I29" s="112" t="s">
        <v>537</v>
      </c>
      <c r="J29" s="112" t="s">
        <v>538</v>
      </c>
      <c r="K29" s="112" t="s">
        <v>539</v>
      </c>
      <c r="L29" s="112" t="s">
        <v>540</v>
      </c>
      <c r="M29" s="112" t="s">
        <v>223</v>
      </c>
      <c r="N29" s="112" t="s">
        <v>531</v>
      </c>
      <c r="O29" s="112" t="s">
        <v>531</v>
      </c>
      <c r="P29" s="112" t="s">
        <v>531</v>
      </c>
      <c r="Q29" s="112" t="s">
        <v>531</v>
      </c>
      <c r="R29" s="112" t="s">
        <v>541</v>
      </c>
      <c r="S29" s="112"/>
      <c r="T29" s="112"/>
      <c r="U29" s="112">
        <f>VLOOKUP(B29,'pkg Technology'!$A$8:$AF$132,30,FALSE)</f>
        <v>1150.27</v>
      </c>
      <c r="V29" s="110"/>
      <c r="W29" s="112">
        <f>VLOOKUP(B29,'pkg Technology'!$A$8:$AF$132,29,FALSE)</f>
        <v>277.25</v>
      </c>
      <c r="X29" s="112"/>
      <c r="Y29" s="112">
        <f>ROUND(VLOOKUP(B29,'pkg Technology'!$A$8:$AF$132,31,FALSE),1)</f>
        <v>6.9</v>
      </c>
      <c r="Z29" s="112">
        <f>ROUND(VLOOKUP(B29,'pkg Technology'!$A$8:$AF$132,32,FALSE),0)</f>
        <v>106</v>
      </c>
      <c r="AA29" s="112"/>
      <c r="AB29" s="112" t="s">
        <v>542</v>
      </c>
      <c r="AC29" s="112" t="s">
        <v>543</v>
      </c>
      <c r="AD29" s="112" t="s">
        <v>531</v>
      </c>
      <c r="AE29" s="112">
        <v>0</v>
      </c>
      <c r="AF29" s="114">
        <v>42005</v>
      </c>
      <c r="AG29" s="112"/>
      <c r="AH29" s="112" t="s">
        <v>544</v>
      </c>
      <c r="AI29" s="112" t="s">
        <v>545</v>
      </c>
      <c r="AJ29" s="112" t="str">
        <f>"Total Material cost = "&amp;W29&amp;" + "&amp;U29&amp;" * Number of Units ("&amp;D29&amp;"); Only units between "&amp;Y29&amp;" and "&amp;Z29&amp;" tons can be claimed with this cost reference; Constant and perUnit costs include contractor markup of "&amp;TEXT(VLOOKUP(B29,'pkg Technology'!$A$8:$Z$200,26,FALSE)*100,"00")&amp;"%"</f>
        <v>Total Material cost = 277.25 + 1150.27 * Number of Units (Cap-Ton); Only units between 6.9 and 106 tons can be claimed with this cost reference; Constant and perUnit costs include contractor markup of 20%</v>
      </c>
    </row>
    <row r="30" spans="1:36" s="10" customFormat="1">
      <c r="A30" s="112" t="s">
        <v>531</v>
      </c>
      <c r="B30" s="112" t="s">
        <v>227</v>
      </c>
      <c r="C30" s="110" t="s">
        <v>532</v>
      </c>
      <c r="D30" s="112" t="s">
        <v>533</v>
      </c>
      <c r="E30" s="112" t="s">
        <v>534</v>
      </c>
      <c r="F30" s="112" t="s">
        <v>535</v>
      </c>
      <c r="G30" s="112" t="s">
        <v>536</v>
      </c>
      <c r="H30" s="112" t="s">
        <v>116</v>
      </c>
      <c r="I30" s="112" t="s">
        <v>537</v>
      </c>
      <c r="J30" s="112" t="s">
        <v>538</v>
      </c>
      <c r="K30" s="112" t="s">
        <v>539</v>
      </c>
      <c r="L30" s="112" t="s">
        <v>540</v>
      </c>
      <c r="M30" s="112" t="s">
        <v>227</v>
      </c>
      <c r="N30" s="112" t="s">
        <v>531</v>
      </c>
      <c r="O30" s="112" t="s">
        <v>531</v>
      </c>
      <c r="P30" s="112" t="s">
        <v>531</v>
      </c>
      <c r="Q30" s="112" t="s">
        <v>531</v>
      </c>
      <c r="R30" s="112" t="s">
        <v>541</v>
      </c>
      <c r="S30" s="112"/>
      <c r="T30" s="112"/>
      <c r="U30" s="112">
        <f>VLOOKUP(B30,'pkg Technology'!$A$8:$AF$132,30,FALSE)</f>
        <v>1150.27</v>
      </c>
      <c r="V30" s="110"/>
      <c r="W30" s="112">
        <f>VLOOKUP(B30,'pkg Technology'!$A$8:$AF$132,29,FALSE)</f>
        <v>3051.92</v>
      </c>
      <c r="X30" s="112"/>
      <c r="Y30" s="112">
        <f>ROUND(VLOOKUP(B30,'pkg Technology'!$A$8:$AF$132,31,FALSE),1)</f>
        <v>6.9</v>
      </c>
      <c r="Z30" s="112">
        <f>ROUND(VLOOKUP(B30,'pkg Technology'!$A$8:$AF$132,32,FALSE),0)</f>
        <v>106</v>
      </c>
      <c r="AA30" s="112"/>
      <c r="AB30" s="112" t="s">
        <v>542</v>
      </c>
      <c r="AC30" s="112" t="s">
        <v>543</v>
      </c>
      <c r="AD30" s="112" t="s">
        <v>531</v>
      </c>
      <c r="AE30" s="112">
        <v>0</v>
      </c>
      <c r="AF30" s="114">
        <v>42005</v>
      </c>
      <c r="AG30" s="112"/>
      <c r="AH30" s="112" t="s">
        <v>544</v>
      </c>
      <c r="AI30" s="112" t="s">
        <v>545</v>
      </c>
      <c r="AJ30" s="112" t="str">
        <f>"Total Material cost = "&amp;W30&amp;" + "&amp;U30&amp;" * Number of Units ("&amp;D30&amp;"); Only units between "&amp;Y30&amp;" and "&amp;Z30&amp;" tons can be claimed with this cost reference; Constant and perUnit costs include contractor markup of "&amp;TEXT(VLOOKUP(B30,'pkg Technology'!$A$8:$Z$200,26,FALSE)*100,"00")&amp;"%"</f>
        <v>Total Material cost = 3051.92 + 1150.27 * Number of Units (Cap-Ton); Only units between 6.9 and 106 tons can be claimed with this cost reference; Constant and perUnit costs include contractor markup of 20%</v>
      </c>
    </row>
    <row r="31" spans="1:36" s="10" customFormat="1">
      <c r="A31" s="112" t="s">
        <v>531</v>
      </c>
      <c r="B31" s="112" t="s">
        <v>237</v>
      </c>
      <c r="C31" s="110" t="s">
        <v>532</v>
      </c>
      <c r="D31" s="112" t="s">
        <v>533</v>
      </c>
      <c r="E31" s="112" t="s">
        <v>534</v>
      </c>
      <c r="F31" s="112" t="s">
        <v>535</v>
      </c>
      <c r="G31" s="112" t="s">
        <v>536</v>
      </c>
      <c r="H31" s="112" t="s">
        <v>116</v>
      </c>
      <c r="I31" s="112" t="s">
        <v>537</v>
      </c>
      <c r="J31" s="112" t="s">
        <v>538</v>
      </c>
      <c r="K31" s="112" t="s">
        <v>539</v>
      </c>
      <c r="L31" s="112" t="s">
        <v>540</v>
      </c>
      <c r="M31" s="112" t="s">
        <v>237</v>
      </c>
      <c r="N31" s="112" t="s">
        <v>531</v>
      </c>
      <c r="O31" s="112" t="s">
        <v>531</v>
      </c>
      <c r="P31" s="112" t="s">
        <v>531</v>
      </c>
      <c r="Q31" s="112" t="s">
        <v>531</v>
      </c>
      <c r="R31" s="112" t="s">
        <v>541</v>
      </c>
      <c r="S31" s="112"/>
      <c r="T31" s="112"/>
      <c r="U31" s="112">
        <f>VLOOKUP(B31,'pkg Technology'!$A$8:$AF$132,30,FALSE)</f>
        <v>1150.27</v>
      </c>
      <c r="V31" s="110"/>
      <c r="W31" s="112">
        <f>VLOOKUP(B31,'pkg Technology'!$A$8:$AF$132,29,FALSE)</f>
        <v>-3884.76</v>
      </c>
      <c r="X31" s="112"/>
      <c r="Y31" s="112">
        <f>ROUND(VLOOKUP(B31,'pkg Technology'!$A$8:$AF$132,31,FALSE),1)</f>
        <v>6.9</v>
      </c>
      <c r="Z31" s="112">
        <f>ROUND(VLOOKUP(B31,'pkg Technology'!$A$8:$AF$132,32,FALSE),0)</f>
        <v>106</v>
      </c>
      <c r="AA31" s="112"/>
      <c r="AB31" s="112" t="s">
        <v>542</v>
      </c>
      <c r="AC31" s="112" t="s">
        <v>543</v>
      </c>
      <c r="AD31" s="112" t="s">
        <v>531</v>
      </c>
      <c r="AE31" s="112">
        <v>0</v>
      </c>
      <c r="AF31" s="114">
        <v>42005</v>
      </c>
      <c r="AG31" s="112"/>
      <c r="AH31" s="112" t="s">
        <v>544</v>
      </c>
      <c r="AI31" s="112" t="s">
        <v>545</v>
      </c>
      <c r="AJ31" s="112" t="str">
        <f>"Total Material cost = "&amp;W31&amp;" + "&amp;U31&amp;" * Number of Units ("&amp;D31&amp;"); Only units between "&amp;Y31&amp;" and "&amp;Z31&amp;" tons can be claimed with this cost reference; Constant and perUnit costs include contractor markup of "&amp;TEXT(VLOOKUP(B31,'pkg Technology'!$A$8:$Z$200,26,FALSE)*100,"00")&amp;"%"</f>
        <v>Total Material cost = -3884.76 + 1150.27 * Number of Units (Cap-Ton); Only units between 6.9 and 106 tons can be claimed with this cost reference; Constant and perUnit costs include contractor markup of 20%</v>
      </c>
    </row>
    <row r="32" spans="1:36" s="10" customFormat="1">
      <c r="A32" s="112" t="s">
        <v>531</v>
      </c>
      <c r="B32" s="112" t="s">
        <v>253</v>
      </c>
      <c r="C32" s="110" t="s">
        <v>532</v>
      </c>
      <c r="D32" s="112" t="s">
        <v>533</v>
      </c>
      <c r="E32" s="112" t="s">
        <v>534</v>
      </c>
      <c r="F32" s="112" t="s">
        <v>535</v>
      </c>
      <c r="G32" s="112" t="s">
        <v>536</v>
      </c>
      <c r="H32" s="112" t="s">
        <v>116</v>
      </c>
      <c r="I32" s="112" t="s">
        <v>537</v>
      </c>
      <c r="J32" s="112" t="s">
        <v>538</v>
      </c>
      <c r="K32" s="112" t="s">
        <v>539</v>
      </c>
      <c r="L32" s="112" t="s">
        <v>546</v>
      </c>
      <c r="M32" s="112" t="s">
        <v>253</v>
      </c>
      <c r="N32" s="112" t="s">
        <v>531</v>
      </c>
      <c r="O32" s="112" t="s">
        <v>531</v>
      </c>
      <c r="P32" s="112" t="s">
        <v>531</v>
      </c>
      <c r="Q32" s="112" t="s">
        <v>531</v>
      </c>
      <c r="R32" s="112" t="s">
        <v>541</v>
      </c>
      <c r="S32" s="112"/>
      <c r="T32" s="112"/>
      <c r="U32" s="112">
        <f>VLOOKUP(B32,'pkg Technology'!$A$8:$AF$132,30,FALSE)</f>
        <v>388.05</v>
      </c>
      <c r="V32" s="110"/>
      <c r="W32" s="112">
        <f>VLOOKUP(B32,'pkg Technology'!$A$8:$AF$132,29,FALSE)</f>
        <v>2180.2715712500003</v>
      </c>
      <c r="X32" s="112"/>
      <c r="Y32" s="112">
        <f>ROUND(VLOOKUP(B32,'pkg Technology'!$A$8:$AF$132,31,FALSE),1)</f>
        <v>2</v>
      </c>
      <c r="Z32" s="112">
        <f>ROUND(VLOOKUP(B32,'pkg Technology'!$A$8:$AF$132,32,FALSE),0)</f>
        <v>5</v>
      </c>
      <c r="AA32" s="112"/>
      <c r="AB32" s="112" t="s">
        <v>542</v>
      </c>
      <c r="AC32" s="112" t="s">
        <v>543</v>
      </c>
      <c r="AD32" s="112" t="s">
        <v>531</v>
      </c>
      <c r="AE32" s="112">
        <v>0</v>
      </c>
      <c r="AF32" s="114">
        <v>42005</v>
      </c>
      <c r="AG32" s="112"/>
      <c r="AH32" s="112" t="s">
        <v>544</v>
      </c>
      <c r="AI32" s="112" t="s">
        <v>545</v>
      </c>
      <c r="AJ32" s="112" t="str">
        <f>"Total Material cost = "&amp;W32&amp;" + "&amp;U32&amp;" * Number of Units ("&amp;D32&amp;"); Only units between "&amp;Y32&amp;" and "&amp;Z32&amp;" tons can be claimed with this cost reference; Constant and perUnit costs include contractor markup of "&amp;TEXT(VLOOKUP(B32,'pkg Technology'!$A$8:$Z$200,26,FALSE)*100,"00")&amp;"%"</f>
        <v>Total Material cost = 2180.27157125 + 388.05 * Number of Units (Cap-Ton); Only units between 2 and 5 tons can be claimed with this cost reference; Constant and perUnit costs include contractor markup of 25%</v>
      </c>
    </row>
    <row r="33" spans="1:36" s="10" customFormat="1">
      <c r="A33" s="112" t="s">
        <v>531</v>
      </c>
      <c r="B33" s="112" t="s">
        <v>255</v>
      </c>
      <c r="C33" s="110" t="s">
        <v>532</v>
      </c>
      <c r="D33" s="112" t="s">
        <v>533</v>
      </c>
      <c r="E33" s="112" t="s">
        <v>534</v>
      </c>
      <c r="F33" s="112" t="s">
        <v>535</v>
      </c>
      <c r="G33" s="112" t="s">
        <v>536</v>
      </c>
      <c r="H33" s="112" t="s">
        <v>116</v>
      </c>
      <c r="I33" s="112" t="s">
        <v>537</v>
      </c>
      <c r="J33" s="112" t="s">
        <v>538</v>
      </c>
      <c r="K33" s="112" t="s">
        <v>539</v>
      </c>
      <c r="L33" s="112" t="s">
        <v>546</v>
      </c>
      <c r="M33" s="112" t="s">
        <v>255</v>
      </c>
      <c r="N33" s="112" t="s">
        <v>531</v>
      </c>
      <c r="O33" s="112" t="s">
        <v>531</v>
      </c>
      <c r="P33" s="112" t="s">
        <v>531</v>
      </c>
      <c r="Q33" s="112" t="s">
        <v>531</v>
      </c>
      <c r="R33" s="112" t="s">
        <v>541</v>
      </c>
      <c r="S33" s="112"/>
      <c r="T33" s="112"/>
      <c r="U33" s="112">
        <f>VLOOKUP(B33,'pkg Technology'!$A$8:$AF$132,30,FALSE)</f>
        <v>388.05</v>
      </c>
      <c r="V33" s="110"/>
      <c r="W33" s="112">
        <f>VLOOKUP(B33,'pkg Technology'!$A$8:$AF$132,29,FALSE)</f>
        <v>2542.0340712500006</v>
      </c>
      <c r="X33" s="112"/>
      <c r="Y33" s="112">
        <f>ROUND(VLOOKUP(B33,'pkg Technology'!$A$8:$AF$132,31,FALSE),1)</f>
        <v>2</v>
      </c>
      <c r="Z33" s="112">
        <f>ROUND(VLOOKUP(B33,'pkg Technology'!$A$8:$AF$132,32,FALSE),0)</f>
        <v>5</v>
      </c>
      <c r="AA33" s="112"/>
      <c r="AB33" s="112" t="s">
        <v>542</v>
      </c>
      <c r="AC33" s="112" t="s">
        <v>543</v>
      </c>
      <c r="AD33" s="112" t="s">
        <v>531</v>
      </c>
      <c r="AE33" s="112">
        <v>0</v>
      </c>
      <c r="AF33" s="114">
        <v>42005</v>
      </c>
      <c r="AG33" s="112"/>
      <c r="AH33" s="112" t="s">
        <v>544</v>
      </c>
      <c r="AI33" s="112" t="s">
        <v>545</v>
      </c>
      <c r="AJ33" s="112" t="str">
        <f>"Total Material cost = "&amp;W33&amp;" + "&amp;U33&amp;" * Number of Units ("&amp;D33&amp;"); Only units between "&amp;Y33&amp;" and "&amp;Z33&amp;" tons can be claimed with this cost reference; Constant and perUnit costs include contractor markup of "&amp;TEXT(VLOOKUP(B33,'pkg Technology'!$A$8:$Z$200,26,FALSE)*100,"00")&amp;"%"</f>
        <v>Total Material cost = 2542.03407125 + 388.05 * Number of Units (Cap-Ton); Only units between 2 and 5 tons can be claimed with this cost reference; Constant and perUnit costs include contractor markup of 25%</v>
      </c>
    </row>
    <row r="34" spans="1:36" s="10" customFormat="1">
      <c r="A34" s="112" t="s">
        <v>531</v>
      </c>
      <c r="B34" s="112" t="s">
        <v>257</v>
      </c>
      <c r="C34" s="110" t="s">
        <v>532</v>
      </c>
      <c r="D34" s="112" t="s">
        <v>533</v>
      </c>
      <c r="E34" s="112" t="s">
        <v>534</v>
      </c>
      <c r="F34" s="112" t="s">
        <v>535</v>
      </c>
      <c r="G34" s="112" t="s">
        <v>536</v>
      </c>
      <c r="H34" s="112" t="s">
        <v>116</v>
      </c>
      <c r="I34" s="112" t="s">
        <v>537</v>
      </c>
      <c r="J34" s="112" t="s">
        <v>538</v>
      </c>
      <c r="K34" s="112" t="s">
        <v>539</v>
      </c>
      <c r="L34" s="112" t="s">
        <v>546</v>
      </c>
      <c r="M34" s="112" t="s">
        <v>257</v>
      </c>
      <c r="N34" s="112" t="s">
        <v>531</v>
      </c>
      <c r="O34" s="112" t="s">
        <v>531</v>
      </c>
      <c r="P34" s="112" t="s">
        <v>531</v>
      </c>
      <c r="Q34" s="112" t="s">
        <v>531</v>
      </c>
      <c r="R34" s="112" t="s">
        <v>541</v>
      </c>
      <c r="S34" s="112"/>
      <c r="T34" s="112"/>
      <c r="U34" s="112">
        <f>VLOOKUP(B34,'pkg Technology'!$A$8:$AF$132,30,FALSE)</f>
        <v>388.05</v>
      </c>
      <c r="V34" s="110"/>
      <c r="W34" s="112">
        <f>VLOOKUP(B34,'pkg Technology'!$A$8:$AF$132,29,FALSE)</f>
        <v>2903.7965712500004</v>
      </c>
      <c r="X34" s="112"/>
      <c r="Y34" s="112">
        <f>ROUND(VLOOKUP(B34,'pkg Technology'!$A$8:$AF$132,31,FALSE),1)</f>
        <v>2</v>
      </c>
      <c r="Z34" s="112">
        <f>ROUND(VLOOKUP(B34,'pkg Technology'!$A$8:$AF$132,32,FALSE),0)</f>
        <v>5</v>
      </c>
      <c r="AA34" s="112"/>
      <c r="AB34" s="112" t="s">
        <v>542</v>
      </c>
      <c r="AC34" s="112" t="s">
        <v>543</v>
      </c>
      <c r="AD34" s="112" t="s">
        <v>531</v>
      </c>
      <c r="AE34" s="112">
        <v>0</v>
      </c>
      <c r="AF34" s="114">
        <v>42005</v>
      </c>
      <c r="AG34" s="112"/>
      <c r="AH34" s="112" t="s">
        <v>544</v>
      </c>
      <c r="AI34" s="112" t="s">
        <v>545</v>
      </c>
      <c r="AJ34" s="112" t="str">
        <f>"Total Material cost = "&amp;W34&amp;" + "&amp;U34&amp;" * Number of Units ("&amp;D34&amp;"); Only units between "&amp;Y34&amp;" and "&amp;Z34&amp;" tons can be claimed with this cost reference; Constant and perUnit costs include contractor markup of "&amp;TEXT(VLOOKUP(B34,'pkg Technology'!$A$8:$Z$200,26,FALSE)*100,"00")&amp;"%"</f>
        <v>Total Material cost = 2903.79657125 + 388.05 * Number of Units (Cap-Ton); Only units between 2 and 5 tons can be claimed with this cost reference; Constant and perUnit costs include contractor markup of 25%</v>
      </c>
    </row>
    <row r="35" spans="1:36" s="10" customFormat="1">
      <c r="A35" s="112" t="s">
        <v>531</v>
      </c>
      <c r="B35" s="112" t="s">
        <v>259</v>
      </c>
      <c r="C35" s="110" t="s">
        <v>532</v>
      </c>
      <c r="D35" s="112" t="s">
        <v>533</v>
      </c>
      <c r="E35" s="112" t="s">
        <v>534</v>
      </c>
      <c r="F35" s="112" t="s">
        <v>535</v>
      </c>
      <c r="G35" s="112" t="s">
        <v>536</v>
      </c>
      <c r="H35" s="112" t="s">
        <v>116</v>
      </c>
      <c r="I35" s="112" t="s">
        <v>537</v>
      </c>
      <c r="J35" s="112" t="s">
        <v>538</v>
      </c>
      <c r="K35" s="112" t="s">
        <v>539</v>
      </c>
      <c r="L35" s="112" t="s">
        <v>546</v>
      </c>
      <c r="M35" s="112" t="s">
        <v>259</v>
      </c>
      <c r="N35" s="112" t="s">
        <v>531</v>
      </c>
      <c r="O35" s="112" t="s">
        <v>531</v>
      </c>
      <c r="P35" s="112" t="s">
        <v>531</v>
      </c>
      <c r="Q35" s="112" t="s">
        <v>531</v>
      </c>
      <c r="R35" s="112" t="s">
        <v>541</v>
      </c>
      <c r="S35" s="112"/>
      <c r="T35" s="112"/>
      <c r="U35" s="112">
        <f>VLOOKUP(B35,'pkg Technology'!$A$8:$AF$132,30,FALSE)</f>
        <v>388.05</v>
      </c>
      <c r="V35" s="110"/>
      <c r="W35" s="112">
        <f>VLOOKUP(B35,'pkg Technology'!$A$8:$AF$132,29,FALSE)</f>
        <v>3265.5590712500002</v>
      </c>
      <c r="X35" s="112"/>
      <c r="Y35" s="112">
        <f>ROUND(VLOOKUP(B35,'pkg Technology'!$A$8:$AF$132,31,FALSE),1)</f>
        <v>2</v>
      </c>
      <c r="Z35" s="112">
        <f>ROUND(VLOOKUP(B35,'pkg Technology'!$A$8:$AF$132,32,FALSE),0)</f>
        <v>5</v>
      </c>
      <c r="AA35" s="112"/>
      <c r="AB35" s="112" t="s">
        <v>542</v>
      </c>
      <c r="AC35" s="112" t="s">
        <v>543</v>
      </c>
      <c r="AD35" s="112" t="s">
        <v>531</v>
      </c>
      <c r="AE35" s="112">
        <v>0</v>
      </c>
      <c r="AF35" s="114">
        <v>42005</v>
      </c>
      <c r="AG35" s="112"/>
      <c r="AH35" s="112" t="s">
        <v>544</v>
      </c>
      <c r="AI35" s="112" t="s">
        <v>545</v>
      </c>
      <c r="AJ35" s="112" t="str">
        <f>"Total Material cost = "&amp;W35&amp;" + "&amp;U35&amp;" * Number of Units ("&amp;D35&amp;"); Only units between "&amp;Y35&amp;" and "&amp;Z35&amp;" tons can be claimed with this cost reference; Constant and perUnit costs include contractor markup of "&amp;TEXT(VLOOKUP(B35,'pkg Technology'!$A$8:$Z$200,26,FALSE)*100,"00")&amp;"%"</f>
        <v>Total Material cost = 3265.55907125 + 388.05 * Number of Units (Cap-Ton); Only units between 2 and 5 tons can be claimed with this cost reference; Constant and perUnit costs include contractor markup of 25%</v>
      </c>
    </row>
    <row r="36" spans="1:36" s="10" customFormat="1">
      <c r="A36" s="112" t="s">
        <v>531</v>
      </c>
      <c r="B36" s="112" t="s">
        <v>261</v>
      </c>
      <c r="C36" s="110" t="s">
        <v>532</v>
      </c>
      <c r="D36" s="112" t="s">
        <v>533</v>
      </c>
      <c r="E36" s="112" t="s">
        <v>534</v>
      </c>
      <c r="F36" s="112" t="s">
        <v>535</v>
      </c>
      <c r="G36" s="112" t="s">
        <v>536</v>
      </c>
      <c r="H36" s="112" t="s">
        <v>116</v>
      </c>
      <c r="I36" s="112" t="s">
        <v>537</v>
      </c>
      <c r="J36" s="112" t="s">
        <v>538</v>
      </c>
      <c r="K36" s="112" t="s">
        <v>539</v>
      </c>
      <c r="L36" s="112" t="s">
        <v>546</v>
      </c>
      <c r="M36" s="112" t="s">
        <v>261</v>
      </c>
      <c r="N36" s="112" t="s">
        <v>531</v>
      </c>
      <c r="O36" s="112" t="s">
        <v>531</v>
      </c>
      <c r="P36" s="112" t="s">
        <v>531</v>
      </c>
      <c r="Q36" s="112" t="s">
        <v>531</v>
      </c>
      <c r="R36" s="112" t="s">
        <v>541</v>
      </c>
      <c r="S36" s="112"/>
      <c r="T36" s="112"/>
      <c r="U36" s="112">
        <f>VLOOKUP(B36,'pkg Technology'!$A$8:$AF$132,30,FALSE)</f>
        <v>388.05</v>
      </c>
      <c r="V36" s="110"/>
      <c r="W36" s="112">
        <f>VLOOKUP(B36,'pkg Technology'!$A$8:$AF$132,29,FALSE)</f>
        <v>3627.32157125</v>
      </c>
      <c r="X36" s="112"/>
      <c r="Y36" s="112">
        <f>ROUND(VLOOKUP(B36,'pkg Technology'!$A$8:$AF$132,31,FALSE),1)</f>
        <v>2</v>
      </c>
      <c r="Z36" s="112">
        <f>ROUND(VLOOKUP(B36,'pkg Technology'!$A$8:$AF$132,32,FALSE),0)</f>
        <v>5</v>
      </c>
      <c r="AA36" s="112"/>
      <c r="AB36" s="112" t="s">
        <v>542</v>
      </c>
      <c r="AC36" s="112" t="s">
        <v>543</v>
      </c>
      <c r="AD36" s="112" t="s">
        <v>531</v>
      </c>
      <c r="AE36" s="112">
        <v>0</v>
      </c>
      <c r="AF36" s="114">
        <v>42005</v>
      </c>
      <c r="AG36" s="112"/>
      <c r="AH36" s="112" t="s">
        <v>544</v>
      </c>
      <c r="AI36" s="112" t="s">
        <v>545</v>
      </c>
      <c r="AJ36" s="112" t="str">
        <f>"Total Material cost = "&amp;W36&amp;" + "&amp;U36&amp;" * Number of Units ("&amp;D36&amp;"); Only units between "&amp;Y36&amp;" and "&amp;Z36&amp;" tons can be claimed with this cost reference; Constant and perUnit costs include contractor markup of "&amp;TEXT(VLOOKUP(B36,'pkg Technology'!$A$8:$Z$200,26,FALSE)*100,"00")&amp;"%"</f>
        <v>Total Material cost = 3627.32157125 + 388.05 * Number of Units (Cap-Ton); Only units between 2 and 5 tons can be claimed with this cost reference; Constant and perUnit costs include contractor markup of 25%</v>
      </c>
    </row>
    <row r="37" spans="1:36" s="10" customFormat="1">
      <c r="A37" s="112" t="s">
        <v>531</v>
      </c>
      <c r="B37" s="112" t="s">
        <v>267</v>
      </c>
      <c r="C37" s="110" t="s">
        <v>532</v>
      </c>
      <c r="D37" s="112" t="s">
        <v>533</v>
      </c>
      <c r="E37" s="112" t="s">
        <v>534</v>
      </c>
      <c r="F37" s="112" t="s">
        <v>535</v>
      </c>
      <c r="G37" s="112" t="s">
        <v>536</v>
      </c>
      <c r="H37" s="112" t="s">
        <v>116</v>
      </c>
      <c r="I37" s="112" t="s">
        <v>537</v>
      </c>
      <c r="J37" s="112" t="s">
        <v>538</v>
      </c>
      <c r="K37" s="112" t="s">
        <v>539</v>
      </c>
      <c r="L37" s="112" t="s">
        <v>547</v>
      </c>
      <c r="M37" s="112" t="s">
        <v>267</v>
      </c>
      <c r="N37" s="112" t="s">
        <v>531</v>
      </c>
      <c r="O37" s="112" t="s">
        <v>531</v>
      </c>
      <c r="P37" s="112" t="s">
        <v>531</v>
      </c>
      <c r="Q37" s="112" t="s">
        <v>531</v>
      </c>
      <c r="R37" s="112" t="s">
        <v>541</v>
      </c>
      <c r="S37" s="112"/>
      <c r="T37" s="112"/>
      <c r="U37" s="112">
        <f>VLOOKUP(B37,'pkg Technology'!$A$8:$AF$132,30,FALSE)</f>
        <v>331.21440000000001</v>
      </c>
      <c r="V37" s="110"/>
      <c r="W37" s="112">
        <f>VLOOKUP(B37,'pkg Technology'!$A$8:$AF$132,29,FALSE)</f>
        <v>551.33880000000011</v>
      </c>
      <c r="X37" s="112"/>
      <c r="Y37" s="112">
        <f>ROUND(VLOOKUP(B37,'pkg Technology'!$A$8:$AF$132,31,FALSE),1)</f>
        <v>1.4</v>
      </c>
      <c r="Z37" s="112">
        <f>ROUND(VLOOKUP(B37,'pkg Technology'!$A$8:$AF$132,32,FALSE),0)</f>
        <v>5</v>
      </c>
      <c r="AA37" s="112"/>
      <c r="AB37" s="112" t="s">
        <v>542</v>
      </c>
      <c r="AC37" s="112" t="s">
        <v>543</v>
      </c>
      <c r="AD37" s="112" t="s">
        <v>531</v>
      </c>
      <c r="AE37" s="112">
        <v>0</v>
      </c>
      <c r="AF37" s="114">
        <v>42005</v>
      </c>
      <c r="AG37" s="112"/>
      <c r="AH37" s="112" t="s">
        <v>544</v>
      </c>
      <c r="AI37" s="112" t="s">
        <v>545</v>
      </c>
      <c r="AJ37" s="112" t="str">
        <f>"Total Material cost = "&amp;W37&amp;" + "&amp;U37&amp;" * Number of Units ("&amp;D37&amp;"); Only units between "&amp;Y37&amp;" and "&amp;Z37&amp;" tons can be claimed with this cost reference; Constant and perUnit costs include contractor markup of "&amp;TEXT(VLOOKUP(B37,'pkg Technology'!$A$8:$Z$200,26,FALSE)*100,"00")&amp;"%"</f>
        <v>Total Material cost = 551.3388 + 331.2144 * Number of Units (Cap-Ton); Only units between 1.4 and 5 tons can be claimed with this cost reference; Constant and perUnit costs include contractor markup of 20%</v>
      </c>
    </row>
    <row r="38" spans="1:36" s="10" customFormat="1">
      <c r="A38" s="112" t="s">
        <v>531</v>
      </c>
      <c r="B38" s="112" t="s">
        <v>269</v>
      </c>
      <c r="C38" s="110" t="s">
        <v>532</v>
      </c>
      <c r="D38" s="112" t="s">
        <v>533</v>
      </c>
      <c r="E38" s="112" t="s">
        <v>534</v>
      </c>
      <c r="F38" s="112" t="s">
        <v>535</v>
      </c>
      <c r="G38" s="112" t="s">
        <v>536</v>
      </c>
      <c r="H38" s="112" t="s">
        <v>116</v>
      </c>
      <c r="I38" s="112" t="s">
        <v>537</v>
      </c>
      <c r="J38" s="112" t="s">
        <v>538</v>
      </c>
      <c r="K38" s="112" t="s">
        <v>539</v>
      </c>
      <c r="L38" s="112" t="s">
        <v>547</v>
      </c>
      <c r="M38" s="112" t="s">
        <v>269</v>
      </c>
      <c r="N38" s="112" t="s">
        <v>531</v>
      </c>
      <c r="O38" s="112" t="s">
        <v>531</v>
      </c>
      <c r="P38" s="112" t="s">
        <v>531</v>
      </c>
      <c r="Q38" s="112" t="s">
        <v>531</v>
      </c>
      <c r="R38" s="112" t="s">
        <v>541</v>
      </c>
      <c r="S38" s="112"/>
      <c r="T38" s="112"/>
      <c r="U38" s="112">
        <f>VLOOKUP(B38,'pkg Technology'!$A$8:$AF$132,30,FALSE)</f>
        <v>331.21440000000001</v>
      </c>
      <c r="V38" s="110"/>
      <c r="W38" s="112">
        <f>VLOOKUP(B38,'pkg Technology'!$A$8:$AF$132,29,FALSE)</f>
        <v>827.72279999999967</v>
      </c>
      <c r="X38" s="112"/>
      <c r="Y38" s="112">
        <f>ROUND(VLOOKUP(B38,'pkg Technology'!$A$8:$AF$132,31,FALSE),1)</f>
        <v>1.4</v>
      </c>
      <c r="Z38" s="112">
        <f>ROUND(VLOOKUP(B38,'pkg Technology'!$A$8:$AF$132,32,FALSE),0)</f>
        <v>5</v>
      </c>
      <c r="AA38" s="112"/>
      <c r="AB38" s="112" t="s">
        <v>542</v>
      </c>
      <c r="AC38" s="112" t="s">
        <v>543</v>
      </c>
      <c r="AD38" s="112" t="s">
        <v>531</v>
      </c>
      <c r="AE38" s="112">
        <v>0</v>
      </c>
      <c r="AF38" s="114">
        <v>42005</v>
      </c>
      <c r="AG38" s="112"/>
      <c r="AH38" s="112" t="s">
        <v>544</v>
      </c>
      <c r="AI38" s="112" t="s">
        <v>545</v>
      </c>
      <c r="AJ38" s="112" t="str">
        <f>"Total Material cost = "&amp;W38&amp;" + "&amp;U38&amp;" * Number of Units ("&amp;D38&amp;"); Only units between "&amp;Y38&amp;" and "&amp;Z38&amp;" tons can be claimed with this cost reference; Constant and perUnit costs include contractor markup of "&amp;TEXT(VLOOKUP(B38,'pkg Technology'!$A$8:$Z$200,26,FALSE)*100,"00")&amp;"%"</f>
        <v>Total Material cost = 827.7228 + 331.2144 * Number of Units (Cap-Ton); Only units between 1.4 and 5 tons can be claimed with this cost reference; Constant and perUnit costs include contractor markup of 20%</v>
      </c>
    </row>
    <row r="39" spans="1:36" s="10" customFormat="1">
      <c r="A39" s="112" t="s">
        <v>531</v>
      </c>
      <c r="B39" s="112" t="s">
        <v>271</v>
      </c>
      <c r="C39" s="110" t="s">
        <v>532</v>
      </c>
      <c r="D39" s="112" t="s">
        <v>533</v>
      </c>
      <c r="E39" s="112" t="s">
        <v>534</v>
      </c>
      <c r="F39" s="112" t="s">
        <v>535</v>
      </c>
      <c r="G39" s="112" t="s">
        <v>536</v>
      </c>
      <c r="H39" s="112" t="s">
        <v>116</v>
      </c>
      <c r="I39" s="112" t="s">
        <v>537</v>
      </c>
      <c r="J39" s="112" t="s">
        <v>538</v>
      </c>
      <c r="K39" s="112" t="s">
        <v>539</v>
      </c>
      <c r="L39" s="112" t="s">
        <v>547</v>
      </c>
      <c r="M39" s="112" t="s">
        <v>271</v>
      </c>
      <c r="N39" s="112" t="s">
        <v>531</v>
      </c>
      <c r="O39" s="112" t="s">
        <v>531</v>
      </c>
      <c r="P39" s="112" t="s">
        <v>531</v>
      </c>
      <c r="Q39" s="112" t="s">
        <v>531</v>
      </c>
      <c r="R39" s="112" t="s">
        <v>541</v>
      </c>
      <c r="S39" s="112"/>
      <c r="T39" s="112"/>
      <c r="U39" s="112">
        <f>VLOOKUP(B39,'pkg Technology'!$A$8:$AF$132,30,FALSE)</f>
        <v>331.21440000000001</v>
      </c>
      <c r="V39" s="110"/>
      <c r="W39" s="112">
        <f>VLOOKUP(B39,'pkg Technology'!$A$8:$AF$132,29,FALSE)</f>
        <v>1104.1067999999998</v>
      </c>
      <c r="X39" s="112"/>
      <c r="Y39" s="112">
        <f>ROUND(VLOOKUP(B39,'pkg Technology'!$A$8:$AF$132,31,FALSE),1)</f>
        <v>1.4</v>
      </c>
      <c r="Z39" s="112">
        <f>ROUND(VLOOKUP(B39,'pkg Technology'!$A$8:$AF$132,32,FALSE),0)</f>
        <v>5</v>
      </c>
      <c r="AA39" s="112"/>
      <c r="AB39" s="112" t="s">
        <v>542</v>
      </c>
      <c r="AC39" s="112" t="s">
        <v>543</v>
      </c>
      <c r="AD39" s="112" t="s">
        <v>531</v>
      </c>
      <c r="AE39" s="112">
        <v>0</v>
      </c>
      <c r="AF39" s="114">
        <v>42005</v>
      </c>
      <c r="AG39" s="112"/>
      <c r="AH39" s="112" t="s">
        <v>544</v>
      </c>
      <c r="AI39" s="112" t="s">
        <v>545</v>
      </c>
      <c r="AJ39" s="112" t="str">
        <f>"Total Material cost = "&amp;W39&amp;" + "&amp;U39&amp;" * Number of Units ("&amp;D39&amp;"); Only units between "&amp;Y39&amp;" and "&amp;Z39&amp;" tons can be claimed with this cost reference; Constant and perUnit costs include contractor markup of "&amp;TEXT(VLOOKUP(B39,'pkg Technology'!$A$8:$Z$200,26,FALSE)*100,"00")&amp;"%"</f>
        <v>Total Material cost = 1104.1068 + 331.2144 * Number of Units (Cap-Ton); Only units between 1.4 and 5 tons can be claimed with this cost reference; Constant and perUnit costs include contractor markup of 20%</v>
      </c>
    </row>
    <row r="40" spans="1:36" s="10" customFormat="1">
      <c r="A40" s="112" t="s">
        <v>531</v>
      </c>
      <c r="B40" s="112" t="s">
        <v>273</v>
      </c>
      <c r="C40" s="110" t="s">
        <v>532</v>
      </c>
      <c r="D40" s="112" t="s">
        <v>533</v>
      </c>
      <c r="E40" s="112" t="s">
        <v>534</v>
      </c>
      <c r="F40" s="112" t="s">
        <v>535</v>
      </c>
      <c r="G40" s="112" t="s">
        <v>536</v>
      </c>
      <c r="H40" s="112" t="s">
        <v>116</v>
      </c>
      <c r="I40" s="112" t="s">
        <v>537</v>
      </c>
      <c r="J40" s="112" t="s">
        <v>538</v>
      </c>
      <c r="K40" s="112" t="s">
        <v>539</v>
      </c>
      <c r="L40" s="112" t="s">
        <v>547</v>
      </c>
      <c r="M40" s="112" t="s">
        <v>273</v>
      </c>
      <c r="N40" s="112" t="s">
        <v>531</v>
      </c>
      <c r="O40" s="112" t="s">
        <v>531</v>
      </c>
      <c r="P40" s="112" t="s">
        <v>531</v>
      </c>
      <c r="Q40" s="112" t="s">
        <v>531</v>
      </c>
      <c r="R40" s="112" t="s">
        <v>541</v>
      </c>
      <c r="S40" s="112"/>
      <c r="T40" s="112"/>
      <c r="U40" s="112">
        <f>VLOOKUP(B40,'pkg Technology'!$A$8:$AF$132,30,FALSE)</f>
        <v>331.21440000000001</v>
      </c>
      <c r="V40" s="110"/>
      <c r="W40" s="112">
        <f>VLOOKUP(B40,'pkg Technology'!$A$8:$AF$132,29,FALSE)</f>
        <v>1380.4908</v>
      </c>
      <c r="X40" s="112"/>
      <c r="Y40" s="112">
        <f>ROUND(VLOOKUP(B40,'pkg Technology'!$A$8:$AF$132,31,FALSE),1)</f>
        <v>1.4</v>
      </c>
      <c r="Z40" s="112">
        <f>ROUND(VLOOKUP(B40,'pkg Technology'!$A$8:$AF$132,32,FALSE),0)</f>
        <v>5</v>
      </c>
      <c r="AA40" s="112"/>
      <c r="AB40" s="112" t="s">
        <v>542</v>
      </c>
      <c r="AC40" s="112" t="s">
        <v>543</v>
      </c>
      <c r="AD40" s="112" t="s">
        <v>531</v>
      </c>
      <c r="AE40" s="112">
        <v>0</v>
      </c>
      <c r="AF40" s="114">
        <v>42005</v>
      </c>
      <c r="AG40" s="112"/>
      <c r="AH40" s="112" t="s">
        <v>544</v>
      </c>
      <c r="AI40" s="112" t="s">
        <v>545</v>
      </c>
      <c r="AJ40" s="112" t="str">
        <f>"Total Material cost = "&amp;W40&amp;" + "&amp;U40&amp;" * Number of Units ("&amp;D40&amp;"); Only units between "&amp;Y40&amp;" and "&amp;Z40&amp;" tons can be claimed with this cost reference; Constant and perUnit costs include contractor markup of "&amp;TEXT(VLOOKUP(B40,'pkg Technology'!$A$8:$Z$200,26,FALSE)*100,"00")&amp;"%"</f>
        <v>Total Material cost = 1380.4908 + 331.2144 * Number of Units (Cap-Ton); Only units between 1.4 and 5 tons can be claimed with this cost reference; Constant and perUnit costs include contractor markup of 20%</v>
      </c>
    </row>
    <row r="41" spans="1:36" s="10" customFormat="1">
      <c r="A41" s="112" t="s">
        <v>531</v>
      </c>
      <c r="B41" s="112" t="s">
        <v>275</v>
      </c>
      <c r="C41" s="110" t="s">
        <v>532</v>
      </c>
      <c r="D41" s="112" t="s">
        <v>533</v>
      </c>
      <c r="E41" s="112" t="s">
        <v>534</v>
      </c>
      <c r="F41" s="112" t="s">
        <v>535</v>
      </c>
      <c r="G41" s="112" t="s">
        <v>536</v>
      </c>
      <c r="H41" s="112" t="s">
        <v>116</v>
      </c>
      <c r="I41" s="112" t="s">
        <v>537</v>
      </c>
      <c r="J41" s="112" t="s">
        <v>538</v>
      </c>
      <c r="K41" s="112" t="s">
        <v>539</v>
      </c>
      <c r="L41" s="112" t="s">
        <v>547</v>
      </c>
      <c r="M41" s="112" t="s">
        <v>275</v>
      </c>
      <c r="N41" s="112" t="s">
        <v>531</v>
      </c>
      <c r="O41" s="112" t="s">
        <v>531</v>
      </c>
      <c r="P41" s="112" t="s">
        <v>531</v>
      </c>
      <c r="Q41" s="112" t="s">
        <v>531</v>
      </c>
      <c r="R41" s="112" t="s">
        <v>541</v>
      </c>
      <c r="S41" s="112"/>
      <c r="T41" s="112"/>
      <c r="U41" s="112">
        <f>VLOOKUP(B41,'pkg Technology'!$A$8:$AF$132,30,FALSE)</f>
        <v>331.21440000000001</v>
      </c>
      <c r="V41" s="110"/>
      <c r="W41" s="112">
        <f>VLOOKUP(B41,'pkg Technology'!$A$8:$AF$132,29,FALSE)</f>
        <v>1656.8748000000003</v>
      </c>
      <c r="X41" s="112"/>
      <c r="Y41" s="112">
        <f>ROUND(VLOOKUP(B41,'pkg Technology'!$A$8:$AF$132,31,FALSE),1)</f>
        <v>1.4</v>
      </c>
      <c r="Z41" s="112">
        <f>ROUND(VLOOKUP(B41,'pkg Technology'!$A$8:$AF$132,32,FALSE),0)</f>
        <v>5</v>
      </c>
      <c r="AA41" s="112"/>
      <c r="AB41" s="112" t="s">
        <v>542</v>
      </c>
      <c r="AC41" s="112" t="s">
        <v>543</v>
      </c>
      <c r="AD41" s="112" t="s">
        <v>531</v>
      </c>
      <c r="AE41" s="112">
        <v>0</v>
      </c>
      <c r="AF41" s="114">
        <v>42005</v>
      </c>
      <c r="AG41" s="112"/>
      <c r="AH41" s="112" t="s">
        <v>544</v>
      </c>
      <c r="AI41" s="112" t="s">
        <v>545</v>
      </c>
      <c r="AJ41" s="112" t="str">
        <f>"Total Material cost = "&amp;W41&amp;" + "&amp;U41&amp;" * Number of Units ("&amp;D41&amp;"); Only units between "&amp;Y41&amp;" and "&amp;Z41&amp;" tons can be claimed with this cost reference; Constant and perUnit costs include contractor markup of "&amp;TEXT(VLOOKUP(B41,'pkg Technology'!$A$8:$Z$200,26,FALSE)*100,"00")&amp;"%"</f>
        <v>Total Material cost = 1656.8748 + 331.2144 * Number of Units (Cap-Ton); Only units between 1.4 and 5 tons can be claimed with this cost reference; Constant and perUnit costs include contractor markup of 20%</v>
      </c>
    </row>
    <row r="42" spans="1:36" s="10" customFormat="1">
      <c r="A42" s="112" t="s">
        <v>531</v>
      </c>
      <c r="B42" s="112" t="s">
        <v>277</v>
      </c>
      <c r="C42" s="110" t="s">
        <v>532</v>
      </c>
      <c r="D42" s="112" t="s">
        <v>533</v>
      </c>
      <c r="E42" s="112" t="s">
        <v>534</v>
      </c>
      <c r="F42" s="112" t="s">
        <v>535</v>
      </c>
      <c r="G42" s="112" t="s">
        <v>536</v>
      </c>
      <c r="H42" s="112" t="s">
        <v>116</v>
      </c>
      <c r="I42" s="112" t="s">
        <v>537</v>
      </c>
      <c r="J42" s="112" t="s">
        <v>538</v>
      </c>
      <c r="K42" s="112" t="s">
        <v>539</v>
      </c>
      <c r="L42" s="112" t="s">
        <v>547</v>
      </c>
      <c r="M42" s="112" t="s">
        <v>277</v>
      </c>
      <c r="N42" s="112" t="s">
        <v>531</v>
      </c>
      <c r="O42" s="112" t="s">
        <v>531</v>
      </c>
      <c r="P42" s="112" t="s">
        <v>531</v>
      </c>
      <c r="Q42" s="112" t="s">
        <v>531</v>
      </c>
      <c r="R42" s="112" t="s">
        <v>541</v>
      </c>
      <c r="S42" s="112"/>
      <c r="T42" s="112"/>
      <c r="U42" s="112">
        <f>VLOOKUP(B42,'pkg Technology'!$A$8:$AF$132,30,FALSE)</f>
        <v>331.21440000000001</v>
      </c>
      <c r="V42" s="110"/>
      <c r="W42" s="112">
        <f>VLOOKUP(B42,'pkg Technology'!$A$8:$AF$132,29,FALSE)</f>
        <v>551.33880000000011</v>
      </c>
      <c r="X42" s="112"/>
      <c r="Y42" s="112">
        <f>ROUND(VLOOKUP(B42,'pkg Technology'!$A$8:$AF$132,31,FALSE),1)</f>
        <v>1.4</v>
      </c>
      <c r="Z42" s="112">
        <f>ROUND(VLOOKUP(B42,'pkg Technology'!$A$8:$AF$132,32,FALSE),0)</f>
        <v>5</v>
      </c>
      <c r="AA42" s="112"/>
      <c r="AB42" s="112" t="s">
        <v>542</v>
      </c>
      <c r="AC42" s="112" t="s">
        <v>543</v>
      </c>
      <c r="AD42" s="112" t="s">
        <v>531</v>
      </c>
      <c r="AE42" s="112">
        <v>0</v>
      </c>
      <c r="AF42" s="114">
        <v>42005</v>
      </c>
      <c r="AG42" s="112"/>
      <c r="AH42" s="112" t="s">
        <v>544</v>
      </c>
      <c r="AI42" s="112" t="s">
        <v>545</v>
      </c>
      <c r="AJ42" s="112" t="str">
        <f>"Total Material cost = "&amp;W42&amp;" + "&amp;U42&amp;" * Number of Units ("&amp;D42&amp;"); Only units between "&amp;Y42&amp;" and "&amp;Z42&amp;" tons can be claimed with this cost reference; Constant and perUnit costs include contractor markup of "&amp;TEXT(VLOOKUP(B42,'pkg Technology'!$A$8:$Z$200,26,FALSE)*100,"00")&amp;"%"</f>
        <v>Total Material cost = 551.3388 + 331.2144 * Number of Units (Cap-Ton); Only units between 1.4 and 5 tons can be claimed with this cost reference; Constant and perUnit costs include contractor markup of 20%</v>
      </c>
    </row>
    <row r="43" spans="1:36" s="10" customFormat="1">
      <c r="A43" s="112" t="s">
        <v>531</v>
      </c>
      <c r="B43" s="112" t="s">
        <v>279</v>
      </c>
      <c r="C43" s="110" t="s">
        <v>532</v>
      </c>
      <c r="D43" s="112" t="s">
        <v>533</v>
      </c>
      <c r="E43" s="112" t="s">
        <v>534</v>
      </c>
      <c r="F43" s="112" t="s">
        <v>535</v>
      </c>
      <c r="G43" s="112" t="s">
        <v>536</v>
      </c>
      <c r="H43" s="112" t="s">
        <v>116</v>
      </c>
      <c r="I43" s="112" t="s">
        <v>537</v>
      </c>
      <c r="J43" s="112" t="s">
        <v>538</v>
      </c>
      <c r="K43" s="112" t="s">
        <v>539</v>
      </c>
      <c r="L43" s="112" t="s">
        <v>547</v>
      </c>
      <c r="M43" s="112" t="s">
        <v>279</v>
      </c>
      <c r="N43" s="112" t="s">
        <v>531</v>
      </c>
      <c r="O43" s="112" t="s">
        <v>531</v>
      </c>
      <c r="P43" s="112" t="s">
        <v>531</v>
      </c>
      <c r="Q43" s="112" t="s">
        <v>531</v>
      </c>
      <c r="R43" s="112" t="s">
        <v>541</v>
      </c>
      <c r="S43" s="112"/>
      <c r="T43" s="112"/>
      <c r="U43" s="112">
        <f>VLOOKUP(B43,'pkg Technology'!$A$8:$AF$132,30,FALSE)</f>
        <v>331.21440000000001</v>
      </c>
      <c r="V43" s="110"/>
      <c r="W43" s="112">
        <f>VLOOKUP(B43,'pkg Technology'!$A$8:$AF$132,29,FALSE)</f>
        <v>827.72279999999967</v>
      </c>
      <c r="X43" s="112"/>
      <c r="Y43" s="112">
        <f>ROUND(VLOOKUP(B43,'pkg Technology'!$A$8:$AF$132,31,FALSE),1)</f>
        <v>1.4</v>
      </c>
      <c r="Z43" s="112">
        <f>ROUND(VLOOKUP(B43,'pkg Technology'!$A$8:$AF$132,32,FALSE),0)</f>
        <v>5</v>
      </c>
      <c r="AA43" s="112"/>
      <c r="AB43" s="112" t="s">
        <v>542</v>
      </c>
      <c r="AC43" s="112" t="s">
        <v>543</v>
      </c>
      <c r="AD43" s="112" t="s">
        <v>531</v>
      </c>
      <c r="AE43" s="112">
        <v>0</v>
      </c>
      <c r="AF43" s="114">
        <v>42005</v>
      </c>
      <c r="AG43" s="112"/>
      <c r="AH43" s="112" t="s">
        <v>544</v>
      </c>
      <c r="AI43" s="112" t="s">
        <v>545</v>
      </c>
      <c r="AJ43" s="112" t="str">
        <f>"Total Material cost = "&amp;W43&amp;" + "&amp;U43&amp;" * Number of Units ("&amp;D43&amp;"); Only units between "&amp;Y43&amp;" and "&amp;Z43&amp;" tons can be claimed with this cost reference; Constant and perUnit costs include contractor markup of "&amp;TEXT(VLOOKUP(B43,'pkg Technology'!$A$8:$Z$200,26,FALSE)*100,"00")&amp;"%"</f>
        <v>Total Material cost = 827.7228 + 331.2144 * Number of Units (Cap-Ton); Only units between 1.4 and 5 tons can be claimed with this cost reference; Constant and perUnit costs include contractor markup of 20%</v>
      </c>
    </row>
    <row r="44" spans="1:36" s="10" customFormat="1">
      <c r="A44" s="112" t="s">
        <v>531</v>
      </c>
      <c r="B44" s="112" t="s">
        <v>281</v>
      </c>
      <c r="C44" s="110" t="s">
        <v>532</v>
      </c>
      <c r="D44" s="112" t="s">
        <v>533</v>
      </c>
      <c r="E44" s="112" t="s">
        <v>534</v>
      </c>
      <c r="F44" s="112" t="s">
        <v>535</v>
      </c>
      <c r="G44" s="112" t="s">
        <v>536</v>
      </c>
      <c r="H44" s="112" t="s">
        <v>116</v>
      </c>
      <c r="I44" s="112" t="s">
        <v>537</v>
      </c>
      <c r="J44" s="112" t="s">
        <v>538</v>
      </c>
      <c r="K44" s="112" t="s">
        <v>539</v>
      </c>
      <c r="L44" s="112" t="s">
        <v>547</v>
      </c>
      <c r="M44" s="112" t="s">
        <v>281</v>
      </c>
      <c r="N44" s="112" t="s">
        <v>531</v>
      </c>
      <c r="O44" s="112" t="s">
        <v>531</v>
      </c>
      <c r="P44" s="112" t="s">
        <v>531</v>
      </c>
      <c r="Q44" s="112" t="s">
        <v>531</v>
      </c>
      <c r="R44" s="112" t="s">
        <v>541</v>
      </c>
      <c r="S44" s="112"/>
      <c r="T44" s="112"/>
      <c r="U44" s="112">
        <f>VLOOKUP(B44,'pkg Technology'!$A$8:$AF$132,30,FALSE)</f>
        <v>331.21440000000001</v>
      </c>
      <c r="V44" s="110"/>
      <c r="W44" s="112">
        <f>VLOOKUP(B44,'pkg Technology'!$A$8:$AF$132,29,FALSE)</f>
        <v>1104.1067999999998</v>
      </c>
      <c r="X44" s="112"/>
      <c r="Y44" s="112">
        <f>ROUND(VLOOKUP(B44,'pkg Technology'!$A$8:$AF$132,31,FALSE),1)</f>
        <v>1.4</v>
      </c>
      <c r="Z44" s="112">
        <f>ROUND(VLOOKUP(B44,'pkg Technology'!$A$8:$AF$132,32,FALSE),0)</f>
        <v>5</v>
      </c>
      <c r="AA44" s="112"/>
      <c r="AB44" s="112" t="s">
        <v>542</v>
      </c>
      <c r="AC44" s="112" t="s">
        <v>543</v>
      </c>
      <c r="AD44" s="112" t="s">
        <v>531</v>
      </c>
      <c r="AE44" s="112">
        <v>0</v>
      </c>
      <c r="AF44" s="114">
        <v>42005</v>
      </c>
      <c r="AG44" s="112"/>
      <c r="AH44" s="112" t="s">
        <v>544</v>
      </c>
      <c r="AI44" s="112" t="s">
        <v>545</v>
      </c>
      <c r="AJ44" s="112" t="str">
        <f>"Total Material cost = "&amp;W44&amp;" + "&amp;U44&amp;" * Number of Units ("&amp;D44&amp;"); Only units between "&amp;Y44&amp;" and "&amp;Z44&amp;" tons can be claimed with this cost reference; Constant and perUnit costs include contractor markup of "&amp;TEXT(VLOOKUP(B44,'pkg Technology'!$A$8:$Z$200,26,FALSE)*100,"00")&amp;"%"</f>
        <v>Total Material cost = 1104.1068 + 331.2144 * Number of Units (Cap-Ton); Only units between 1.4 and 5 tons can be claimed with this cost reference; Constant and perUnit costs include contractor markup of 20%</v>
      </c>
    </row>
    <row r="45" spans="1:36" s="10" customFormat="1">
      <c r="A45" s="112" t="s">
        <v>531</v>
      </c>
      <c r="B45" s="112" t="s">
        <v>283</v>
      </c>
      <c r="C45" s="110" t="s">
        <v>532</v>
      </c>
      <c r="D45" s="112" t="s">
        <v>533</v>
      </c>
      <c r="E45" s="112" t="s">
        <v>534</v>
      </c>
      <c r="F45" s="112" t="s">
        <v>535</v>
      </c>
      <c r="G45" s="112" t="s">
        <v>536</v>
      </c>
      <c r="H45" s="112" t="s">
        <v>116</v>
      </c>
      <c r="I45" s="112" t="s">
        <v>537</v>
      </c>
      <c r="J45" s="112" t="s">
        <v>538</v>
      </c>
      <c r="K45" s="112" t="s">
        <v>539</v>
      </c>
      <c r="L45" s="112" t="s">
        <v>547</v>
      </c>
      <c r="M45" s="112" t="s">
        <v>283</v>
      </c>
      <c r="N45" s="112" t="s">
        <v>531</v>
      </c>
      <c r="O45" s="112" t="s">
        <v>531</v>
      </c>
      <c r="P45" s="112" t="s">
        <v>531</v>
      </c>
      <c r="Q45" s="112" t="s">
        <v>531</v>
      </c>
      <c r="R45" s="112" t="s">
        <v>541</v>
      </c>
      <c r="S45" s="112"/>
      <c r="T45" s="112"/>
      <c r="U45" s="112">
        <f>VLOOKUP(B45,'pkg Technology'!$A$8:$AF$132,30,FALSE)</f>
        <v>331.21440000000001</v>
      </c>
      <c r="V45" s="110"/>
      <c r="W45" s="112">
        <f>VLOOKUP(B45,'pkg Technology'!$A$8:$AF$132,29,FALSE)</f>
        <v>1380.4908</v>
      </c>
      <c r="X45" s="112"/>
      <c r="Y45" s="112">
        <f>ROUND(VLOOKUP(B45,'pkg Technology'!$A$8:$AF$132,31,FALSE),1)</f>
        <v>1.4</v>
      </c>
      <c r="Z45" s="112">
        <f>ROUND(VLOOKUP(B45,'pkg Technology'!$A$8:$AF$132,32,FALSE),0)</f>
        <v>5</v>
      </c>
      <c r="AA45" s="112"/>
      <c r="AB45" s="112" t="s">
        <v>542</v>
      </c>
      <c r="AC45" s="112" t="s">
        <v>543</v>
      </c>
      <c r="AD45" s="112" t="s">
        <v>531</v>
      </c>
      <c r="AE45" s="112">
        <v>0</v>
      </c>
      <c r="AF45" s="114">
        <v>42005</v>
      </c>
      <c r="AG45" s="112"/>
      <c r="AH45" s="112" t="s">
        <v>544</v>
      </c>
      <c r="AI45" s="112" t="s">
        <v>545</v>
      </c>
      <c r="AJ45" s="112" t="str">
        <f>"Total Material cost = "&amp;W45&amp;" + "&amp;U45&amp;" * Number of Units ("&amp;D45&amp;"); Only units between "&amp;Y45&amp;" and "&amp;Z45&amp;" tons can be claimed with this cost reference; Constant and perUnit costs include contractor markup of "&amp;TEXT(VLOOKUP(B45,'pkg Technology'!$A$8:$Z$200,26,FALSE)*100,"00")&amp;"%"</f>
        <v>Total Material cost = 1380.4908 + 331.2144 * Number of Units (Cap-Ton); Only units between 1.4 and 5 tons can be claimed with this cost reference; Constant and perUnit costs include contractor markup of 20%</v>
      </c>
    </row>
    <row r="46" spans="1:36" s="10" customFormat="1">
      <c r="A46" s="112" t="s">
        <v>531</v>
      </c>
      <c r="B46" s="112" t="s">
        <v>285</v>
      </c>
      <c r="C46" s="110" t="s">
        <v>532</v>
      </c>
      <c r="D46" s="112" t="s">
        <v>533</v>
      </c>
      <c r="E46" s="112" t="s">
        <v>534</v>
      </c>
      <c r="F46" s="112" t="s">
        <v>535</v>
      </c>
      <c r="G46" s="112" t="s">
        <v>536</v>
      </c>
      <c r="H46" s="112" t="s">
        <v>116</v>
      </c>
      <c r="I46" s="112" t="s">
        <v>537</v>
      </c>
      <c r="J46" s="112" t="s">
        <v>538</v>
      </c>
      <c r="K46" s="112" t="s">
        <v>539</v>
      </c>
      <c r="L46" s="112" t="s">
        <v>547</v>
      </c>
      <c r="M46" s="112" t="s">
        <v>285</v>
      </c>
      <c r="N46" s="112" t="s">
        <v>531</v>
      </c>
      <c r="O46" s="112" t="s">
        <v>531</v>
      </c>
      <c r="P46" s="112" t="s">
        <v>531</v>
      </c>
      <c r="Q46" s="112" t="s">
        <v>531</v>
      </c>
      <c r="R46" s="112" t="s">
        <v>541</v>
      </c>
      <c r="S46" s="112"/>
      <c r="T46" s="112"/>
      <c r="U46" s="112">
        <f>VLOOKUP(B46,'pkg Technology'!$A$8:$AF$132,30,FALSE)</f>
        <v>331.21440000000001</v>
      </c>
      <c r="V46" s="110"/>
      <c r="W46" s="112">
        <f>VLOOKUP(B46,'pkg Technology'!$A$8:$AF$132,29,FALSE)</f>
        <v>1656.8748000000003</v>
      </c>
      <c r="X46" s="112"/>
      <c r="Y46" s="112">
        <f>ROUND(VLOOKUP(B46,'pkg Technology'!$A$8:$AF$132,31,FALSE),1)</f>
        <v>1.4</v>
      </c>
      <c r="Z46" s="112">
        <f>ROUND(VLOOKUP(B46,'pkg Technology'!$A$8:$AF$132,32,FALSE),0)</f>
        <v>5</v>
      </c>
      <c r="AA46" s="112"/>
      <c r="AB46" s="112" t="s">
        <v>542</v>
      </c>
      <c r="AC46" s="112" t="s">
        <v>543</v>
      </c>
      <c r="AD46" s="112" t="s">
        <v>531</v>
      </c>
      <c r="AE46" s="112">
        <v>0</v>
      </c>
      <c r="AF46" s="114">
        <v>42005</v>
      </c>
      <c r="AG46" s="112"/>
      <c r="AH46" s="112" t="s">
        <v>544</v>
      </c>
      <c r="AI46" s="112" t="s">
        <v>545</v>
      </c>
      <c r="AJ46" s="112" t="str">
        <f>"Total Material cost = "&amp;W46&amp;" + "&amp;U46&amp;" * Number of Units ("&amp;D46&amp;"); Only units between "&amp;Y46&amp;" and "&amp;Z46&amp;" tons can be claimed with this cost reference; Constant and perUnit costs include contractor markup of "&amp;TEXT(VLOOKUP(B46,'pkg Technology'!$A$8:$Z$200,26,FALSE)*100,"00")&amp;"%"</f>
        <v>Total Material cost = 1656.8748 + 331.2144 * Number of Units (Cap-Ton); Only units between 1.4 and 5 tons can be claimed with this cost reference; Constant and perUnit costs include contractor markup of 20%</v>
      </c>
    </row>
    <row r="47" spans="1:36" s="10" customFormat="1">
      <c r="A47" s="112" t="s">
        <v>531</v>
      </c>
      <c r="B47" s="112" t="s">
        <v>287</v>
      </c>
      <c r="C47" s="110" t="s">
        <v>532</v>
      </c>
      <c r="D47" s="112" t="s">
        <v>533</v>
      </c>
      <c r="E47" s="112" t="s">
        <v>534</v>
      </c>
      <c r="F47" s="112" t="s">
        <v>535</v>
      </c>
      <c r="G47" s="112" t="s">
        <v>536</v>
      </c>
      <c r="H47" s="112" t="s">
        <v>116</v>
      </c>
      <c r="I47" s="112" t="s">
        <v>537</v>
      </c>
      <c r="J47" s="112" t="s">
        <v>538</v>
      </c>
      <c r="K47" s="112" t="s">
        <v>539</v>
      </c>
      <c r="L47" s="112" t="s">
        <v>547</v>
      </c>
      <c r="M47" s="112" t="s">
        <v>287</v>
      </c>
      <c r="N47" s="112" t="s">
        <v>531</v>
      </c>
      <c r="O47" s="112" t="s">
        <v>531</v>
      </c>
      <c r="P47" s="112" t="s">
        <v>531</v>
      </c>
      <c r="Q47" s="112" t="s">
        <v>531</v>
      </c>
      <c r="R47" s="112" t="s">
        <v>541</v>
      </c>
      <c r="S47" s="112"/>
      <c r="T47" s="112"/>
      <c r="U47" s="112">
        <f>VLOOKUP(B47,'pkg Technology'!$A$8:$AF$132,30,FALSE)</f>
        <v>331.21440000000001</v>
      </c>
      <c r="V47" s="110"/>
      <c r="W47" s="112">
        <f>VLOOKUP(B47,'pkg Technology'!$A$8:$AF$132,29,FALSE)</f>
        <v>551.33880000000011</v>
      </c>
      <c r="X47" s="112"/>
      <c r="Y47" s="112">
        <f>ROUND(VLOOKUP(B47,'pkg Technology'!$A$8:$AF$132,31,FALSE),1)</f>
        <v>1.4</v>
      </c>
      <c r="Z47" s="112">
        <f>ROUND(VLOOKUP(B47,'pkg Technology'!$A$8:$AF$132,32,FALSE),0)</f>
        <v>5</v>
      </c>
      <c r="AA47" s="112"/>
      <c r="AB47" s="112" t="s">
        <v>542</v>
      </c>
      <c r="AC47" s="112" t="s">
        <v>543</v>
      </c>
      <c r="AD47" s="112" t="s">
        <v>531</v>
      </c>
      <c r="AE47" s="112">
        <v>0</v>
      </c>
      <c r="AF47" s="114">
        <v>42005</v>
      </c>
      <c r="AG47" s="112"/>
      <c r="AH47" s="112" t="s">
        <v>544</v>
      </c>
      <c r="AI47" s="112" t="s">
        <v>545</v>
      </c>
      <c r="AJ47" s="112" t="str">
        <f>"Total Material cost = "&amp;W47&amp;" + "&amp;U47&amp;" * Number of Units ("&amp;D47&amp;"); Only units between "&amp;Y47&amp;" and "&amp;Z47&amp;" tons can be claimed with this cost reference; Constant and perUnit costs include contractor markup of "&amp;TEXT(VLOOKUP(B47,'pkg Technology'!$A$8:$Z$200,26,FALSE)*100,"00")&amp;"%"</f>
        <v>Total Material cost = 551.3388 + 331.2144 * Number of Units (Cap-Ton); Only units between 1.4 and 5 tons can be claimed with this cost reference; Constant and perUnit costs include contractor markup of 20%</v>
      </c>
    </row>
    <row r="48" spans="1:36" s="10" customFormat="1">
      <c r="A48" s="112" t="s">
        <v>531</v>
      </c>
      <c r="B48" s="112" t="s">
        <v>289</v>
      </c>
      <c r="C48" s="110" t="s">
        <v>532</v>
      </c>
      <c r="D48" s="112" t="s">
        <v>533</v>
      </c>
      <c r="E48" s="112" t="s">
        <v>534</v>
      </c>
      <c r="F48" s="112" t="s">
        <v>535</v>
      </c>
      <c r="G48" s="112" t="s">
        <v>536</v>
      </c>
      <c r="H48" s="112" t="s">
        <v>116</v>
      </c>
      <c r="I48" s="112" t="s">
        <v>537</v>
      </c>
      <c r="J48" s="112" t="s">
        <v>538</v>
      </c>
      <c r="K48" s="112" t="s">
        <v>539</v>
      </c>
      <c r="L48" s="112" t="s">
        <v>547</v>
      </c>
      <c r="M48" s="112" t="s">
        <v>289</v>
      </c>
      <c r="N48" s="112" t="s">
        <v>531</v>
      </c>
      <c r="O48" s="112" t="s">
        <v>531</v>
      </c>
      <c r="P48" s="112" t="s">
        <v>531</v>
      </c>
      <c r="Q48" s="112" t="s">
        <v>531</v>
      </c>
      <c r="R48" s="112" t="s">
        <v>541</v>
      </c>
      <c r="S48" s="112"/>
      <c r="T48" s="112"/>
      <c r="U48" s="112">
        <f>VLOOKUP(B48,'pkg Technology'!$A$8:$AF$132,30,FALSE)</f>
        <v>331.21440000000001</v>
      </c>
      <c r="V48" s="110"/>
      <c r="W48" s="112">
        <f>VLOOKUP(B48,'pkg Technology'!$A$8:$AF$132,29,FALSE)</f>
        <v>827.72279999999967</v>
      </c>
      <c r="X48" s="112"/>
      <c r="Y48" s="112">
        <f>ROUND(VLOOKUP(B48,'pkg Technology'!$A$8:$AF$132,31,FALSE),1)</f>
        <v>1.4</v>
      </c>
      <c r="Z48" s="112">
        <f>ROUND(VLOOKUP(B48,'pkg Technology'!$A$8:$AF$132,32,FALSE),0)</f>
        <v>5</v>
      </c>
      <c r="AA48" s="112"/>
      <c r="AB48" s="112" t="s">
        <v>542</v>
      </c>
      <c r="AC48" s="112" t="s">
        <v>543</v>
      </c>
      <c r="AD48" s="112" t="s">
        <v>531</v>
      </c>
      <c r="AE48" s="112">
        <v>0</v>
      </c>
      <c r="AF48" s="114">
        <v>42005</v>
      </c>
      <c r="AG48" s="112"/>
      <c r="AH48" s="112" t="s">
        <v>544</v>
      </c>
      <c r="AI48" s="112" t="s">
        <v>545</v>
      </c>
      <c r="AJ48" s="112" t="str">
        <f>"Total Material cost = "&amp;W48&amp;" + "&amp;U48&amp;" * Number of Units ("&amp;D48&amp;"); Only units between "&amp;Y48&amp;" and "&amp;Z48&amp;" tons can be claimed with this cost reference; Constant and perUnit costs include contractor markup of "&amp;TEXT(VLOOKUP(B48,'pkg Technology'!$A$8:$Z$200,26,FALSE)*100,"00")&amp;"%"</f>
        <v>Total Material cost = 827.7228 + 331.2144 * Number of Units (Cap-Ton); Only units between 1.4 and 5 tons can be claimed with this cost reference; Constant and perUnit costs include contractor markup of 20%</v>
      </c>
    </row>
    <row r="49" spans="1:36" s="10" customFormat="1">
      <c r="A49" s="112" t="s">
        <v>531</v>
      </c>
      <c r="B49" s="112" t="s">
        <v>291</v>
      </c>
      <c r="C49" s="110" t="s">
        <v>532</v>
      </c>
      <c r="D49" s="112" t="s">
        <v>533</v>
      </c>
      <c r="E49" s="112" t="s">
        <v>534</v>
      </c>
      <c r="F49" s="112" t="s">
        <v>535</v>
      </c>
      <c r="G49" s="112" t="s">
        <v>536</v>
      </c>
      <c r="H49" s="112" t="s">
        <v>116</v>
      </c>
      <c r="I49" s="112" t="s">
        <v>537</v>
      </c>
      <c r="J49" s="112" t="s">
        <v>538</v>
      </c>
      <c r="K49" s="112" t="s">
        <v>539</v>
      </c>
      <c r="L49" s="112" t="s">
        <v>547</v>
      </c>
      <c r="M49" s="112" t="s">
        <v>291</v>
      </c>
      <c r="N49" s="112" t="s">
        <v>531</v>
      </c>
      <c r="O49" s="112" t="s">
        <v>531</v>
      </c>
      <c r="P49" s="112" t="s">
        <v>531</v>
      </c>
      <c r="Q49" s="112" t="s">
        <v>531</v>
      </c>
      <c r="R49" s="112" t="s">
        <v>541</v>
      </c>
      <c r="S49" s="112"/>
      <c r="T49" s="112"/>
      <c r="U49" s="112">
        <f>VLOOKUP(B49,'pkg Technology'!$A$8:$AF$132,30,FALSE)</f>
        <v>331.21440000000001</v>
      </c>
      <c r="V49" s="110"/>
      <c r="W49" s="112">
        <f>VLOOKUP(B49,'pkg Technology'!$A$8:$AF$132,29,FALSE)</f>
        <v>1104.1067999999998</v>
      </c>
      <c r="X49" s="112"/>
      <c r="Y49" s="112">
        <f>ROUND(VLOOKUP(B49,'pkg Technology'!$A$8:$AF$132,31,FALSE),1)</f>
        <v>1.4</v>
      </c>
      <c r="Z49" s="112">
        <f>ROUND(VLOOKUP(B49,'pkg Technology'!$A$8:$AF$132,32,FALSE),0)</f>
        <v>5</v>
      </c>
      <c r="AA49" s="112"/>
      <c r="AB49" s="112" t="s">
        <v>542</v>
      </c>
      <c r="AC49" s="112" t="s">
        <v>543</v>
      </c>
      <c r="AD49" s="112" t="s">
        <v>531</v>
      </c>
      <c r="AE49" s="112">
        <v>0</v>
      </c>
      <c r="AF49" s="114">
        <v>42005</v>
      </c>
      <c r="AG49" s="112"/>
      <c r="AH49" s="112" t="s">
        <v>544</v>
      </c>
      <c r="AI49" s="112" t="s">
        <v>545</v>
      </c>
      <c r="AJ49" s="112" t="str">
        <f>"Total Material cost = "&amp;W49&amp;" + "&amp;U49&amp;" * Number of Units ("&amp;D49&amp;"); Only units between "&amp;Y49&amp;" and "&amp;Z49&amp;" tons can be claimed with this cost reference; Constant and perUnit costs include contractor markup of "&amp;TEXT(VLOOKUP(B49,'pkg Technology'!$A$8:$Z$200,26,FALSE)*100,"00")&amp;"%"</f>
        <v>Total Material cost = 1104.1068 + 331.2144 * Number of Units (Cap-Ton); Only units between 1.4 and 5 tons can be claimed with this cost reference; Constant and perUnit costs include contractor markup of 20%</v>
      </c>
    </row>
    <row r="50" spans="1:36" s="10" customFormat="1">
      <c r="A50" s="112" t="s">
        <v>531</v>
      </c>
      <c r="B50" s="112" t="s">
        <v>293</v>
      </c>
      <c r="C50" s="110" t="s">
        <v>532</v>
      </c>
      <c r="D50" s="112" t="s">
        <v>533</v>
      </c>
      <c r="E50" s="112" t="s">
        <v>534</v>
      </c>
      <c r="F50" s="112" t="s">
        <v>535</v>
      </c>
      <c r="G50" s="112" t="s">
        <v>536</v>
      </c>
      <c r="H50" s="112" t="s">
        <v>116</v>
      </c>
      <c r="I50" s="112" t="s">
        <v>537</v>
      </c>
      <c r="J50" s="112" t="s">
        <v>538</v>
      </c>
      <c r="K50" s="112" t="s">
        <v>539</v>
      </c>
      <c r="L50" s="112" t="s">
        <v>547</v>
      </c>
      <c r="M50" s="112" t="s">
        <v>293</v>
      </c>
      <c r="N50" s="112" t="s">
        <v>531</v>
      </c>
      <c r="O50" s="112" t="s">
        <v>531</v>
      </c>
      <c r="P50" s="112" t="s">
        <v>531</v>
      </c>
      <c r="Q50" s="112" t="s">
        <v>531</v>
      </c>
      <c r="R50" s="112" t="s">
        <v>541</v>
      </c>
      <c r="S50" s="112"/>
      <c r="T50" s="112"/>
      <c r="U50" s="112">
        <f>VLOOKUP(B50,'pkg Technology'!$A$8:$AF$132,30,FALSE)</f>
        <v>331.21440000000001</v>
      </c>
      <c r="V50" s="110"/>
      <c r="W50" s="112">
        <f>VLOOKUP(B50,'pkg Technology'!$A$8:$AF$132,29,FALSE)</f>
        <v>1380.4908</v>
      </c>
      <c r="X50" s="112"/>
      <c r="Y50" s="112">
        <f>ROUND(VLOOKUP(B50,'pkg Technology'!$A$8:$AF$132,31,FALSE),1)</f>
        <v>1.4</v>
      </c>
      <c r="Z50" s="112">
        <f>ROUND(VLOOKUP(B50,'pkg Technology'!$A$8:$AF$132,32,FALSE),0)</f>
        <v>5</v>
      </c>
      <c r="AA50" s="112"/>
      <c r="AB50" s="112" t="s">
        <v>542</v>
      </c>
      <c r="AC50" s="112" t="s">
        <v>543</v>
      </c>
      <c r="AD50" s="112" t="s">
        <v>531</v>
      </c>
      <c r="AE50" s="112">
        <v>0</v>
      </c>
      <c r="AF50" s="114">
        <v>42005</v>
      </c>
      <c r="AG50" s="112"/>
      <c r="AH50" s="112" t="s">
        <v>544</v>
      </c>
      <c r="AI50" s="112" t="s">
        <v>545</v>
      </c>
      <c r="AJ50" s="112" t="str">
        <f>"Total Material cost = "&amp;W50&amp;" + "&amp;U50&amp;" * Number of Units ("&amp;D50&amp;"); Only units between "&amp;Y50&amp;" and "&amp;Z50&amp;" tons can be claimed with this cost reference; Constant and perUnit costs include contractor markup of "&amp;TEXT(VLOOKUP(B50,'pkg Technology'!$A$8:$Z$200,26,FALSE)*100,"00")&amp;"%"</f>
        <v>Total Material cost = 1380.4908 + 331.2144 * Number of Units (Cap-Ton); Only units between 1.4 and 5 tons can be claimed with this cost reference; Constant and perUnit costs include contractor markup of 20%</v>
      </c>
    </row>
    <row r="51" spans="1:36" s="10" customFormat="1">
      <c r="A51" s="112" t="s">
        <v>531</v>
      </c>
      <c r="B51" s="112" t="s">
        <v>295</v>
      </c>
      <c r="C51" s="110" t="s">
        <v>532</v>
      </c>
      <c r="D51" s="112" t="s">
        <v>533</v>
      </c>
      <c r="E51" s="112" t="s">
        <v>534</v>
      </c>
      <c r="F51" s="112" t="s">
        <v>535</v>
      </c>
      <c r="G51" s="112" t="s">
        <v>536</v>
      </c>
      <c r="H51" s="112" t="s">
        <v>116</v>
      </c>
      <c r="I51" s="112" t="s">
        <v>537</v>
      </c>
      <c r="J51" s="112" t="s">
        <v>538</v>
      </c>
      <c r="K51" s="112" t="s">
        <v>539</v>
      </c>
      <c r="L51" s="112" t="s">
        <v>547</v>
      </c>
      <c r="M51" s="112" t="s">
        <v>295</v>
      </c>
      <c r="N51" s="112" t="s">
        <v>531</v>
      </c>
      <c r="O51" s="112" t="s">
        <v>531</v>
      </c>
      <c r="P51" s="112" t="s">
        <v>531</v>
      </c>
      <c r="Q51" s="112" t="s">
        <v>531</v>
      </c>
      <c r="R51" s="112" t="s">
        <v>541</v>
      </c>
      <c r="S51" s="112"/>
      <c r="T51" s="112"/>
      <c r="U51" s="112">
        <f>VLOOKUP(B51,'pkg Technology'!$A$8:$AF$132,30,FALSE)</f>
        <v>331.21440000000001</v>
      </c>
      <c r="V51" s="110"/>
      <c r="W51" s="112">
        <f>VLOOKUP(B51,'pkg Technology'!$A$8:$AF$132,29,FALSE)</f>
        <v>1656.8748000000003</v>
      </c>
      <c r="X51" s="112"/>
      <c r="Y51" s="112">
        <f>ROUND(VLOOKUP(B51,'pkg Technology'!$A$8:$AF$132,31,FALSE),1)</f>
        <v>1.4</v>
      </c>
      <c r="Z51" s="112">
        <f>ROUND(VLOOKUP(B51,'pkg Technology'!$A$8:$AF$132,32,FALSE),0)</f>
        <v>5</v>
      </c>
      <c r="AA51" s="112"/>
      <c r="AB51" s="112" t="s">
        <v>542</v>
      </c>
      <c r="AC51" s="112" t="s">
        <v>543</v>
      </c>
      <c r="AD51" s="112" t="s">
        <v>531</v>
      </c>
      <c r="AE51" s="112">
        <v>0</v>
      </c>
      <c r="AF51" s="114">
        <v>42005</v>
      </c>
      <c r="AG51" s="112"/>
      <c r="AH51" s="112" t="s">
        <v>544</v>
      </c>
      <c r="AI51" s="112" t="s">
        <v>545</v>
      </c>
      <c r="AJ51" s="112" t="str">
        <f>"Total Material cost = "&amp;W51&amp;" + "&amp;U51&amp;" * Number of Units ("&amp;D51&amp;"); Only units between "&amp;Y51&amp;" and "&amp;Z51&amp;" tons can be claimed with this cost reference; Constant and perUnit costs include contractor markup of "&amp;TEXT(VLOOKUP(B51,'pkg Technology'!$A$8:$Z$200,26,FALSE)*100,"00")&amp;"%"</f>
        <v>Total Material cost = 1656.8748 + 331.2144 * Number of Units (Cap-Ton); Only units between 1.4 and 5 tons can be claimed with this cost reference; Constant and perUnit costs include contractor markup of 20%</v>
      </c>
    </row>
    <row r="52" spans="1:36" s="10" customFormat="1">
      <c r="A52" s="112" t="s">
        <v>531</v>
      </c>
      <c r="B52" s="112" t="s">
        <v>305</v>
      </c>
      <c r="C52" s="110" t="s">
        <v>532</v>
      </c>
      <c r="D52" s="112" t="s">
        <v>533</v>
      </c>
      <c r="E52" s="112" t="s">
        <v>534</v>
      </c>
      <c r="F52" s="112" t="s">
        <v>535</v>
      </c>
      <c r="G52" s="112" t="s">
        <v>536</v>
      </c>
      <c r="H52" s="112" t="s">
        <v>302</v>
      </c>
      <c r="I52" s="112" t="s">
        <v>537</v>
      </c>
      <c r="J52" s="112" t="s">
        <v>538</v>
      </c>
      <c r="K52" s="112" t="s">
        <v>539</v>
      </c>
      <c r="L52" s="112" t="s">
        <v>547</v>
      </c>
      <c r="M52" s="112" t="s">
        <v>305</v>
      </c>
      <c r="N52" s="112" t="s">
        <v>531</v>
      </c>
      <c r="O52" s="112" t="s">
        <v>531</v>
      </c>
      <c r="P52" s="112" t="s">
        <v>531</v>
      </c>
      <c r="Q52" s="112" t="s">
        <v>531</v>
      </c>
      <c r="R52" s="112" t="s">
        <v>541</v>
      </c>
      <c r="S52" s="112"/>
      <c r="T52" s="112"/>
      <c r="U52" s="112">
        <f>VLOOKUP(B52,'pkg Technology'!$A$8:$AF$132,30,FALSE)</f>
        <v>331.21440000000001</v>
      </c>
      <c r="V52" s="110"/>
      <c r="W52" s="112">
        <f>VLOOKUP(B52,'pkg Technology'!$A$8:$AF$132,29,FALSE)</f>
        <v>551.33880000000011</v>
      </c>
      <c r="X52" s="112"/>
      <c r="Y52" s="112">
        <f>ROUND(VLOOKUP(B52,'pkg Technology'!$A$8:$AF$132,31,FALSE),1)</f>
        <v>1.4</v>
      </c>
      <c r="Z52" s="112">
        <f>ROUND(VLOOKUP(B52,'pkg Technology'!$A$8:$AF$132,32,FALSE),0)</f>
        <v>5</v>
      </c>
      <c r="AA52" s="112"/>
      <c r="AB52" s="112" t="s">
        <v>542</v>
      </c>
      <c r="AC52" s="112" t="s">
        <v>543</v>
      </c>
      <c r="AD52" s="112" t="s">
        <v>531</v>
      </c>
      <c r="AE52" s="112">
        <v>0</v>
      </c>
      <c r="AF52" s="114">
        <v>42005</v>
      </c>
      <c r="AG52" s="112"/>
      <c r="AH52" s="112" t="s">
        <v>544</v>
      </c>
      <c r="AI52" s="112" t="s">
        <v>545</v>
      </c>
      <c r="AJ52" s="112" t="str">
        <f>"Total Material cost = "&amp;W52&amp;" + "&amp;U52&amp;" * Number of Units ("&amp;D52&amp;"); Only units between "&amp;Y52&amp;" and "&amp;Z52&amp;" tons can be claimed with this cost reference; Constant and perUnit costs include contractor markup of "&amp;TEXT(VLOOKUP(B52,'pkg Technology'!$A$8:$Z$200,26,FALSE)*100,"00")&amp;"%"</f>
        <v>Total Material cost = 551.3388 + 331.2144 * Number of Units (Cap-Ton); Only units between 1.4 and 5 tons can be claimed with this cost reference; Constant and perUnit costs include contractor markup of 20%</v>
      </c>
    </row>
    <row r="53" spans="1:36" s="10" customFormat="1">
      <c r="A53" s="112" t="s">
        <v>531</v>
      </c>
      <c r="B53" s="112" t="s">
        <v>307</v>
      </c>
      <c r="C53" s="110" t="s">
        <v>532</v>
      </c>
      <c r="D53" s="112" t="s">
        <v>533</v>
      </c>
      <c r="E53" s="112" t="s">
        <v>534</v>
      </c>
      <c r="F53" s="112" t="s">
        <v>535</v>
      </c>
      <c r="G53" s="112" t="s">
        <v>536</v>
      </c>
      <c r="H53" s="112" t="s">
        <v>302</v>
      </c>
      <c r="I53" s="112" t="s">
        <v>537</v>
      </c>
      <c r="J53" s="112" t="s">
        <v>538</v>
      </c>
      <c r="K53" s="112" t="s">
        <v>539</v>
      </c>
      <c r="L53" s="112" t="s">
        <v>547</v>
      </c>
      <c r="M53" s="112" t="s">
        <v>307</v>
      </c>
      <c r="N53" s="112" t="s">
        <v>531</v>
      </c>
      <c r="O53" s="112" t="s">
        <v>531</v>
      </c>
      <c r="P53" s="112" t="s">
        <v>531</v>
      </c>
      <c r="Q53" s="112" t="s">
        <v>531</v>
      </c>
      <c r="R53" s="112" t="s">
        <v>541</v>
      </c>
      <c r="S53" s="112"/>
      <c r="T53" s="112"/>
      <c r="U53" s="112">
        <f>VLOOKUP(B53,'pkg Technology'!$A$8:$AF$132,30,FALSE)</f>
        <v>331.21440000000001</v>
      </c>
      <c r="V53" s="110"/>
      <c r="W53" s="112">
        <f>VLOOKUP(B53,'pkg Technology'!$A$8:$AF$132,29,FALSE)</f>
        <v>551.33880000000011</v>
      </c>
      <c r="X53" s="112"/>
      <c r="Y53" s="112">
        <f>ROUND(VLOOKUP(B53,'pkg Technology'!$A$8:$AF$132,31,FALSE),1)</f>
        <v>1.4</v>
      </c>
      <c r="Z53" s="112">
        <f>ROUND(VLOOKUP(B53,'pkg Technology'!$A$8:$AF$132,32,FALSE),0)</f>
        <v>5</v>
      </c>
      <c r="AA53" s="112"/>
      <c r="AB53" s="112" t="s">
        <v>542</v>
      </c>
      <c r="AC53" s="112" t="s">
        <v>543</v>
      </c>
      <c r="AD53" s="112" t="s">
        <v>531</v>
      </c>
      <c r="AE53" s="112">
        <v>0</v>
      </c>
      <c r="AF53" s="114">
        <v>42005</v>
      </c>
      <c r="AG53" s="112"/>
      <c r="AH53" s="112" t="s">
        <v>544</v>
      </c>
      <c r="AI53" s="112" t="s">
        <v>545</v>
      </c>
      <c r="AJ53" s="112" t="str">
        <f>"Total Material cost = "&amp;W53&amp;" + "&amp;U53&amp;" * Number of Units ("&amp;D53&amp;"); Only units between "&amp;Y53&amp;" and "&amp;Z53&amp;" tons can be claimed with this cost reference; Constant and perUnit costs include contractor markup of "&amp;TEXT(VLOOKUP(B53,'pkg Technology'!$A$8:$Z$200,26,FALSE)*100,"00")&amp;"%"</f>
        <v>Total Material cost = 551.3388 + 331.2144 * Number of Units (Cap-Ton); Only units between 1.4 and 5 tons can be claimed with this cost reference; Constant and perUnit costs include contractor markup of 20%</v>
      </c>
    </row>
    <row r="54" spans="1:36" s="10" customFormat="1">
      <c r="A54" s="112" t="s">
        <v>531</v>
      </c>
      <c r="B54" s="112" t="s">
        <v>313</v>
      </c>
      <c r="C54" s="110" t="s">
        <v>532</v>
      </c>
      <c r="D54" s="112" t="s">
        <v>533</v>
      </c>
      <c r="E54" s="112" t="s">
        <v>534</v>
      </c>
      <c r="F54" s="112" t="s">
        <v>535</v>
      </c>
      <c r="G54" s="112" t="s">
        <v>536</v>
      </c>
      <c r="H54" s="112" t="s">
        <v>302</v>
      </c>
      <c r="I54" s="112" t="s">
        <v>537</v>
      </c>
      <c r="J54" s="112" t="s">
        <v>538</v>
      </c>
      <c r="K54" s="112" t="s">
        <v>539</v>
      </c>
      <c r="L54" s="112" t="s">
        <v>547</v>
      </c>
      <c r="M54" s="112" t="s">
        <v>313</v>
      </c>
      <c r="N54" s="112" t="s">
        <v>531</v>
      </c>
      <c r="O54" s="112" t="s">
        <v>531</v>
      </c>
      <c r="P54" s="112" t="s">
        <v>531</v>
      </c>
      <c r="Q54" s="112" t="s">
        <v>531</v>
      </c>
      <c r="R54" s="112" t="s">
        <v>541</v>
      </c>
      <c r="S54" s="112"/>
      <c r="T54" s="112"/>
      <c r="U54" s="112">
        <f>VLOOKUP(B54,'pkg Technology'!$A$8:$AF$132,30,FALSE)</f>
        <v>331.21440000000001</v>
      </c>
      <c r="V54" s="110"/>
      <c r="W54" s="112">
        <f>VLOOKUP(B54,'pkg Technology'!$A$8:$AF$132,29,FALSE)</f>
        <v>827.72279999999967</v>
      </c>
      <c r="X54" s="112"/>
      <c r="Y54" s="112">
        <f>ROUND(VLOOKUP(B54,'pkg Technology'!$A$8:$AF$132,31,FALSE),1)</f>
        <v>1.4</v>
      </c>
      <c r="Z54" s="112">
        <f>ROUND(VLOOKUP(B54,'pkg Technology'!$A$8:$AF$132,32,FALSE),0)</f>
        <v>5</v>
      </c>
      <c r="AA54" s="112"/>
      <c r="AB54" s="112" t="s">
        <v>542</v>
      </c>
      <c r="AC54" s="112" t="s">
        <v>543</v>
      </c>
      <c r="AD54" s="112" t="s">
        <v>531</v>
      </c>
      <c r="AE54" s="112">
        <v>0</v>
      </c>
      <c r="AF54" s="114">
        <v>42005</v>
      </c>
      <c r="AG54" s="112"/>
      <c r="AH54" s="112" t="s">
        <v>544</v>
      </c>
      <c r="AI54" s="112" t="s">
        <v>545</v>
      </c>
      <c r="AJ54" s="112" t="str">
        <f>"Total Material cost = "&amp;W54&amp;" + "&amp;U54&amp;" * Number of Units ("&amp;D54&amp;"); Only units between "&amp;Y54&amp;" and "&amp;Z54&amp;" tons can be claimed with this cost reference; Constant and perUnit costs include contractor markup of "&amp;TEXT(VLOOKUP(B54,'pkg Technology'!$A$8:$Z$200,26,FALSE)*100,"00")&amp;"%"</f>
        <v>Total Material cost = 827.7228 + 331.2144 * Number of Units (Cap-Ton); Only units between 1.4 and 5 tons can be claimed with this cost reference; Constant and perUnit costs include contractor markup of 20%</v>
      </c>
    </row>
    <row r="55" spans="1:36" s="10" customFormat="1">
      <c r="A55" s="112" t="s">
        <v>531</v>
      </c>
      <c r="B55" s="112" t="s">
        <v>315</v>
      </c>
      <c r="C55" s="110" t="s">
        <v>532</v>
      </c>
      <c r="D55" s="112" t="s">
        <v>533</v>
      </c>
      <c r="E55" s="112" t="s">
        <v>534</v>
      </c>
      <c r="F55" s="112" t="s">
        <v>535</v>
      </c>
      <c r="G55" s="112" t="s">
        <v>536</v>
      </c>
      <c r="H55" s="112" t="s">
        <v>302</v>
      </c>
      <c r="I55" s="112" t="s">
        <v>537</v>
      </c>
      <c r="J55" s="112" t="s">
        <v>538</v>
      </c>
      <c r="K55" s="112" t="s">
        <v>539</v>
      </c>
      <c r="L55" s="112" t="s">
        <v>547</v>
      </c>
      <c r="M55" s="112" t="s">
        <v>315</v>
      </c>
      <c r="N55" s="112" t="s">
        <v>531</v>
      </c>
      <c r="O55" s="112" t="s">
        <v>531</v>
      </c>
      <c r="P55" s="112" t="s">
        <v>531</v>
      </c>
      <c r="Q55" s="112" t="s">
        <v>531</v>
      </c>
      <c r="R55" s="112" t="s">
        <v>541</v>
      </c>
      <c r="S55" s="112"/>
      <c r="T55" s="112"/>
      <c r="U55" s="112">
        <f>VLOOKUP(B55,'pkg Technology'!$A$8:$AF$132,30,FALSE)</f>
        <v>331.21440000000001</v>
      </c>
      <c r="V55" s="110"/>
      <c r="W55" s="112">
        <f>VLOOKUP(B55,'pkg Technology'!$A$8:$AF$132,29,FALSE)</f>
        <v>1104.1067999999998</v>
      </c>
      <c r="X55" s="112"/>
      <c r="Y55" s="112">
        <f>ROUND(VLOOKUP(B55,'pkg Technology'!$A$8:$AF$132,31,FALSE),1)</f>
        <v>1.4</v>
      </c>
      <c r="Z55" s="112">
        <f>ROUND(VLOOKUP(B55,'pkg Technology'!$A$8:$AF$132,32,FALSE),0)</f>
        <v>5</v>
      </c>
      <c r="AA55" s="112"/>
      <c r="AB55" s="112" t="s">
        <v>542</v>
      </c>
      <c r="AC55" s="112" t="s">
        <v>543</v>
      </c>
      <c r="AD55" s="112" t="s">
        <v>531</v>
      </c>
      <c r="AE55" s="112">
        <v>0</v>
      </c>
      <c r="AF55" s="114">
        <v>42005</v>
      </c>
      <c r="AG55" s="112"/>
      <c r="AH55" s="112" t="s">
        <v>544</v>
      </c>
      <c r="AI55" s="112" t="s">
        <v>545</v>
      </c>
      <c r="AJ55" s="112" t="str">
        <f>"Total Material cost = "&amp;W55&amp;" + "&amp;U55&amp;" * Number of Units ("&amp;D55&amp;"); Only units between "&amp;Y55&amp;" and "&amp;Z55&amp;" tons can be claimed with this cost reference; Constant and perUnit costs include contractor markup of "&amp;TEXT(VLOOKUP(B55,'pkg Technology'!$A$8:$Z$200,26,FALSE)*100,"00")&amp;"%"</f>
        <v>Total Material cost = 1104.1068 + 331.2144 * Number of Units (Cap-Ton); Only units between 1.4 and 5 tons can be claimed with this cost reference; Constant and perUnit costs include contractor markup of 20%</v>
      </c>
    </row>
    <row r="56" spans="1:36" s="10" customFormat="1">
      <c r="A56" s="112" t="s">
        <v>531</v>
      </c>
      <c r="B56" s="112" t="s">
        <v>317</v>
      </c>
      <c r="C56" s="110" t="s">
        <v>532</v>
      </c>
      <c r="D56" s="112" t="s">
        <v>533</v>
      </c>
      <c r="E56" s="112" t="s">
        <v>534</v>
      </c>
      <c r="F56" s="112" t="s">
        <v>535</v>
      </c>
      <c r="G56" s="112" t="s">
        <v>536</v>
      </c>
      <c r="H56" s="112" t="s">
        <v>302</v>
      </c>
      <c r="I56" s="112" t="s">
        <v>537</v>
      </c>
      <c r="J56" s="112" t="s">
        <v>538</v>
      </c>
      <c r="K56" s="112" t="s">
        <v>539</v>
      </c>
      <c r="L56" s="112" t="s">
        <v>547</v>
      </c>
      <c r="M56" s="112" t="s">
        <v>317</v>
      </c>
      <c r="N56" s="112" t="s">
        <v>531</v>
      </c>
      <c r="O56" s="112" t="s">
        <v>531</v>
      </c>
      <c r="P56" s="112" t="s">
        <v>531</v>
      </c>
      <c r="Q56" s="112" t="s">
        <v>531</v>
      </c>
      <c r="R56" s="112" t="s">
        <v>541</v>
      </c>
      <c r="S56" s="112"/>
      <c r="T56" s="112"/>
      <c r="U56" s="112">
        <f>VLOOKUP(B56,'pkg Technology'!$A$8:$AF$132,30,FALSE)</f>
        <v>331.21440000000001</v>
      </c>
      <c r="V56" s="110"/>
      <c r="W56" s="112">
        <f>VLOOKUP(B56,'pkg Technology'!$A$8:$AF$132,29,FALSE)</f>
        <v>1380.4908</v>
      </c>
      <c r="X56" s="112"/>
      <c r="Y56" s="112">
        <f>ROUND(VLOOKUP(B56,'pkg Technology'!$A$8:$AF$132,31,FALSE),1)</f>
        <v>1.4</v>
      </c>
      <c r="Z56" s="112">
        <f>ROUND(VLOOKUP(B56,'pkg Technology'!$A$8:$AF$132,32,FALSE),0)</f>
        <v>5</v>
      </c>
      <c r="AA56" s="112"/>
      <c r="AB56" s="112" t="s">
        <v>542</v>
      </c>
      <c r="AC56" s="112" t="s">
        <v>543</v>
      </c>
      <c r="AD56" s="112" t="s">
        <v>531</v>
      </c>
      <c r="AE56" s="112">
        <v>0</v>
      </c>
      <c r="AF56" s="114">
        <v>42005</v>
      </c>
      <c r="AG56" s="112"/>
      <c r="AH56" s="112" t="s">
        <v>544</v>
      </c>
      <c r="AI56" s="112" t="s">
        <v>545</v>
      </c>
      <c r="AJ56" s="112" t="str">
        <f>"Total Material cost = "&amp;W56&amp;" + "&amp;U56&amp;" * Number of Units ("&amp;D56&amp;"); Only units between "&amp;Y56&amp;" and "&amp;Z56&amp;" tons can be claimed with this cost reference; Constant and perUnit costs include contractor markup of "&amp;TEXT(VLOOKUP(B56,'pkg Technology'!$A$8:$Z$200,26,FALSE)*100,"00")&amp;"%"</f>
        <v>Total Material cost = 1380.4908 + 331.2144 * Number of Units (Cap-Ton); Only units between 1.4 and 5 tons can be claimed with this cost reference; Constant and perUnit costs include contractor markup of 20%</v>
      </c>
    </row>
    <row r="57" spans="1:36" s="10" customFormat="1">
      <c r="A57" s="112" t="s">
        <v>531</v>
      </c>
      <c r="B57" s="112" t="s">
        <v>319</v>
      </c>
      <c r="C57" s="110" t="s">
        <v>532</v>
      </c>
      <c r="D57" s="112" t="s">
        <v>533</v>
      </c>
      <c r="E57" s="112" t="s">
        <v>534</v>
      </c>
      <c r="F57" s="112" t="s">
        <v>535</v>
      </c>
      <c r="G57" s="112" t="s">
        <v>536</v>
      </c>
      <c r="H57" s="112" t="s">
        <v>302</v>
      </c>
      <c r="I57" s="112" t="s">
        <v>537</v>
      </c>
      <c r="J57" s="112" t="s">
        <v>538</v>
      </c>
      <c r="K57" s="112" t="s">
        <v>539</v>
      </c>
      <c r="L57" s="112" t="s">
        <v>547</v>
      </c>
      <c r="M57" s="112" t="s">
        <v>319</v>
      </c>
      <c r="N57" s="112" t="s">
        <v>531</v>
      </c>
      <c r="O57" s="112" t="s">
        <v>531</v>
      </c>
      <c r="P57" s="112" t="s">
        <v>531</v>
      </c>
      <c r="Q57" s="112" t="s">
        <v>531</v>
      </c>
      <c r="R57" s="112" t="s">
        <v>541</v>
      </c>
      <c r="S57" s="112"/>
      <c r="T57" s="112"/>
      <c r="U57" s="112">
        <f>VLOOKUP(B57,'pkg Technology'!$A$8:$AF$132,30,FALSE)</f>
        <v>331.21440000000001</v>
      </c>
      <c r="V57" s="110"/>
      <c r="W57" s="112">
        <f>VLOOKUP(B57,'pkg Technology'!$A$8:$AF$132,29,FALSE)</f>
        <v>1656.8748000000003</v>
      </c>
      <c r="X57" s="112"/>
      <c r="Y57" s="112">
        <f>ROUND(VLOOKUP(B57,'pkg Technology'!$A$8:$AF$132,31,FALSE),1)</f>
        <v>1.4</v>
      </c>
      <c r="Z57" s="112">
        <f>ROUND(VLOOKUP(B57,'pkg Technology'!$A$8:$AF$132,32,FALSE),0)</f>
        <v>5</v>
      </c>
      <c r="AA57" s="112"/>
      <c r="AB57" s="112" t="s">
        <v>542</v>
      </c>
      <c r="AC57" s="112" t="s">
        <v>543</v>
      </c>
      <c r="AD57" s="112" t="s">
        <v>531</v>
      </c>
      <c r="AE57" s="112">
        <v>0</v>
      </c>
      <c r="AF57" s="114">
        <v>42005</v>
      </c>
      <c r="AG57" s="112"/>
      <c r="AH57" s="112" t="s">
        <v>544</v>
      </c>
      <c r="AI57" s="112" t="s">
        <v>545</v>
      </c>
      <c r="AJ57" s="112" t="str">
        <f>"Total Material cost = "&amp;W57&amp;" + "&amp;U57&amp;" * Number of Units ("&amp;D57&amp;"); Only units between "&amp;Y57&amp;" and "&amp;Z57&amp;" tons can be claimed with this cost reference; Constant and perUnit costs include contractor markup of "&amp;TEXT(VLOOKUP(B57,'pkg Technology'!$A$8:$Z$200,26,FALSE)*100,"00")&amp;"%"</f>
        <v>Total Material cost = 1656.8748 + 331.2144 * Number of Units (Cap-Ton); Only units between 1.4 and 5 tons can be claimed with this cost reference; Constant and perUnit costs include contractor markup of 20%</v>
      </c>
    </row>
    <row r="58" spans="1:36" s="10" customFormat="1">
      <c r="A58" s="112" t="s">
        <v>531</v>
      </c>
      <c r="B58" s="112" t="s">
        <v>329</v>
      </c>
      <c r="C58" s="110" t="s">
        <v>532</v>
      </c>
      <c r="D58" s="112" t="s">
        <v>533</v>
      </c>
      <c r="E58" s="112" t="s">
        <v>534</v>
      </c>
      <c r="F58" s="112" t="s">
        <v>535</v>
      </c>
      <c r="G58" s="112" t="s">
        <v>536</v>
      </c>
      <c r="H58" s="112" t="s">
        <v>116</v>
      </c>
      <c r="I58" s="112" t="s">
        <v>537</v>
      </c>
      <c r="J58" s="112" t="s">
        <v>538</v>
      </c>
      <c r="K58" s="112" t="s">
        <v>539</v>
      </c>
      <c r="L58" s="112" t="s">
        <v>546</v>
      </c>
      <c r="M58" s="112" t="s">
        <v>329</v>
      </c>
      <c r="N58" s="112" t="s">
        <v>531</v>
      </c>
      <c r="O58" s="112" t="s">
        <v>531</v>
      </c>
      <c r="P58" s="112" t="s">
        <v>531</v>
      </c>
      <c r="Q58" s="112" t="s">
        <v>531</v>
      </c>
      <c r="R58" s="112" t="s">
        <v>541</v>
      </c>
      <c r="S58" s="112"/>
      <c r="T58" s="112"/>
      <c r="U58" s="112">
        <f>VLOOKUP(B58,'pkg Technology'!$A$8:$AF$132,30,FALSE)</f>
        <v>358.45920000000001</v>
      </c>
      <c r="V58" s="110"/>
      <c r="W58" s="112">
        <f>VLOOKUP(B58,'pkg Technology'!$A$8:$AF$132,29,FALSE)</f>
        <v>2677.6308000000004</v>
      </c>
      <c r="X58" s="112"/>
      <c r="Y58" s="112">
        <f>ROUND(VLOOKUP(B58,'pkg Technology'!$A$8:$AF$132,31,FALSE),1)</f>
        <v>2</v>
      </c>
      <c r="Z58" s="112">
        <f>ROUND(VLOOKUP(B58,'pkg Technology'!$A$8:$AF$132,32,FALSE),0)</f>
        <v>5</v>
      </c>
      <c r="AA58" s="112"/>
      <c r="AB58" s="112" t="s">
        <v>542</v>
      </c>
      <c r="AC58" s="112" t="s">
        <v>543</v>
      </c>
      <c r="AD58" s="112" t="s">
        <v>531</v>
      </c>
      <c r="AE58" s="112">
        <v>0</v>
      </c>
      <c r="AF58" s="114">
        <v>42005</v>
      </c>
      <c r="AG58" s="112"/>
      <c r="AH58" s="112" t="s">
        <v>544</v>
      </c>
      <c r="AI58" s="112" t="s">
        <v>545</v>
      </c>
      <c r="AJ58" s="112" t="str">
        <f>"Total Material cost = "&amp;W58&amp;" + "&amp;U58&amp;" * Number of Units ("&amp;D58&amp;"); Only units between "&amp;Y58&amp;" and "&amp;Z58&amp;" tons can be claimed with this cost reference; Constant and perUnit costs include contractor markup of "&amp;TEXT(VLOOKUP(B58,'pkg Technology'!$A$8:$Z$200,26,FALSE)*100,"00")&amp;"%"</f>
        <v>Total Material cost = 2677.6308 + 358.4592 * Number of Units (Cap-Ton); Only units between 2 and 5 tons can be claimed with this cost reference; Constant and perUnit costs include contractor markup of 20%</v>
      </c>
    </row>
    <row r="59" spans="1:36" s="10" customFormat="1">
      <c r="A59" s="112" t="s">
        <v>531</v>
      </c>
      <c r="B59" s="112" t="s">
        <v>331</v>
      </c>
      <c r="C59" s="110" t="s">
        <v>532</v>
      </c>
      <c r="D59" s="112" t="s">
        <v>533</v>
      </c>
      <c r="E59" s="112" t="s">
        <v>534</v>
      </c>
      <c r="F59" s="112" t="s">
        <v>535</v>
      </c>
      <c r="G59" s="112" t="s">
        <v>536</v>
      </c>
      <c r="H59" s="112" t="s">
        <v>116</v>
      </c>
      <c r="I59" s="112" t="s">
        <v>537</v>
      </c>
      <c r="J59" s="112" t="s">
        <v>538</v>
      </c>
      <c r="K59" s="112" t="s">
        <v>539</v>
      </c>
      <c r="L59" s="112" t="s">
        <v>546</v>
      </c>
      <c r="M59" s="112" t="s">
        <v>331</v>
      </c>
      <c r="N59" s="112" t="s">
        <v>531</v>
      </c>
      <c r="O59" s="112" t="s">
        <v>531</v>
      </c>
      <c r="P59" s="112" t="s">
        <v>531</v>
      </c>
      <c r="Q59" s="112" t="s">
        <v>531</v>
      </c>
      <c r="R59" s="112" t="s">
        <v>541</v>
      </c>
      <c r="S59" s="112"/>
      <c r="T59" s="112"/>
      <c r="U59" s="112">
        <f>VLOOKUP(B59,'pkg Technology'!$A$8:$AF$132,30,FALSE)</f>
        <v>358.45920000000001</v>
      </c>
      <c r="V59" s="110"/>
      <c r="W59" s="112">
        <f>VLOOKUP(B59,'pkg Technology'!$A$8:$AF$132,29,FALSE)</f>
        <v>3103.5228000000002</v>
      </c>
      <c r="X59" s="112"/>
      <c r="Y59" s="112">
        <f>ROUND(VLOOKUP(B59,'pkg Technology'!$A$8:$AF$132,31,FALSE),1)</f>
        <v>2</v>
      </c>
      <c r="Z59" s="112">
        <f>ROUND(VLOOKUP(B59,'pkg Technology'!$A$8:$AF$132,32,FALSE),0)</f>
        <v>5</v>
      </c>
      <c r="AA59" s="112"/>
      <c r="AB59" s="112" t="s">
        <v>542</v>
      </c>
      <c r="AC59" s="112" t="s">
        <v>543</v>
      </c>
      <c r="AD59" s="112" t="s">
        <v>531</v>
      </c>
      <c r="AE59" s="112">
        <v>0</v>
      </c>
      <c r="AF59" s="114">
        <v>42005</v>
      </c>
      <c r="AG59" s="112"/>
      <c r="AH59" s="112" t="s">
        <v>544</v>
      </c>
      <c r="AI59" s="112" t="s">
        <v>545</v>
      </c>
      <c r="AJ59" s="112" t="str">
        <f>"Total Material cost = "&amp;W59&amp;" + "&amp;U59&amp;" * Number of Units ("&amp;D59&amp;"); Only units between "&amp;Y59&amp;" and "&amp;Z59&amp;" tons can be claimed with this cost reference; Constant and perUnit costs include contractor markup of "&amp;TEXT(VLOOKUP(B59,'pkg Technology'!$A$8:$Z$200,26,FALSE)*100,"00")&amp;"%"</f>
        <v>Total Material cost = 3103.5228 + 358.4592 * Number of Units (Cap-Ton); Only units between 2 and 5 tons can be claimed with this cost reference; Constant and perUnit costs include contractor markup of 20%</v>
      </c>
    </row>
    <row r="60" spans="1:36" s="10" customFormat="1">
      <c r="A60" s="112" t="s">
        <v>531</v>
      </c>
      <c r="B60" s="112" t="s">
        <v>333</v>
      </c>
      <c r="C60" s="110" t="s">
        <v>532</v>
      </c>
      <c r="D60" s="112" t="s">
        <v>533</v>
      </c>
      <c r="E60" s="112" t="s">
        <v>534</v>
      </c>
      <c r="F60" s="112" t="s">
        <v>535</v>
      </c>
      <c r="G60" s="112" t="s">
        <v>536</v>
      </c>
      <c r="H60" s="112" t="s">
        <v>116</v>
      </c>
      <c r="I60" s="112" t="s">
        <v>537</v>
      </c>
      <c r="J60" s="112" t="s">
        <v>538</v>
      </c>
      <c r="K60" s="112" t="s">
        <v>539</v>
      </c>
      <c r="L60" s="112" t="s">
        <v>546</v>
      </c>
      <c r="M60" s="112" t="s">
        <v>333</v>
      </c>
      <c r="N60" s="112" t="s">
        <v>531</v>
      </c>
      <c r="O60" s="112" t="s">
        <v>531</v>
      </c>
      <c r="P60" s="112" t="s">
        <v>531</v>
      </c>
      <c r="Q60" s="112" t="s">
        <v>531</v>
      </c>
      <c r="R60" s="112" t="s">
        <v>541</v>
      </c>
      <c r="S60" s="112"/>
      <c r="T60" s="112"/>
      <c r="U60" s="112">
        <f>VLOOKUP(B60,'pkg Technology'!$A$8:$AF$132,30,FALSE)</f>
        <v>358.45920000000001</v>
      </c>
      <c r="V60" s="110"/>
      <c r="W60" s="112">
        <f>VLOOKUP(B60,'pkg Technology'!$A$8:$AF$132,29,FALSE)</f>
        <v>3529.4148</v>
      </c>
      <c r="X60" s="112"/>
      <c r="Y60" s="112">
        <f>ROUND(VLOOKUP(B60,'pkg Technology'!$A$8:$AF$132,31,FALSE),1)</f>
        <v>2</v>
      </c>
      <c r="Z60" s="112">
        <f>ROUND(VLOOKUP(B60,'pkg Technology'!$A$8:$AF$132,32,FALSE),0)</f>
        <v>5</v>
      </c>
      <c r="AA60" s="112"/>
      <c r="AB60" s="112" t="s">
        <v>542</v>
      </c>
      <c r="AC60" s="112" t="s">
        <v>543</v>
      </c>
      <c r="AD60" s="112" t="s">
        <v>531</v>
      </c>
      <c r="AE60" s="112">
        <v>0</v>
      </c>
      <c r="AF60" s="114">
        <v>42005</v>
      </c>
      <c r="AG60" s="112"/>
      <c r="AH60" s="112" t="s">
        <v>544</v>
      </c>
      <c r="AI60" s="112" t="s">
        <v>545</v>
      </c>
      <c r="AJ60" s="112" t="str">
        <f>"Total Material cost = "&amp;W60&amp;" + "&amp;U60&amp;" * Number of Units ("&amp;D60&amp;"); Only units between "&amp;Y60&amp;" and "&amp;Z60&amp;" tons can be claimed with this cost reference; Constant and perUnit costs include contractor markup of "&amp;TEXT(VLOOKUP(B60,'pkg Technology'!$A$8:$Z$200,26,FALSE)*100,"00")&amp;"%"</f>
        <v>Total Material cost = 3529.4148 + 358.4592 * Number of Units (Cap-Ton); Only units between 2 and 5 tons can be claimed with this cost reference; Constant and perUnit costs include contractor markup of 20%</v>
      </c>
    </row>
    <row r="61" spans="1:36" s="10" customFormat="1">
      <c r="A61" s="112" t="s">
        <v>531</v>
      </c>
      <c r="B61" s="112" t="s">
        <v>335</v>
      </c>
      <c r="C61" s="110" t="s">
        <v>532</v>
      </c>
      <c r="D61" s="112" t="s">
        <v>533</v>
      </c>
      <c r="E61" s="112" t="s">
        <v>534</v>
      </c>
      <c r="F61" s="112" t="s">
        <v>535</v>
      </c>
      <c r="G61" s="112" t="s">
        <v>536</v>
      </c>
      <c r="H61" s="112" t="s">
        <v>116</v>
      </c>
      <c r="I61" s="112" t="s">
        <v>537</v>
      </c>
      <c r="J61" s="112" t="s">
        <v>538</v>
      </c>
      <c r="K61" s="112" t="s">
        <v>539</v>
      </c>
      <c r="L61" s="112" t="s">
        <v>546</v>
      </c>
      <c r="M61" s="112" t="s">
        <v>335</v>
      </c>
      <c r="N61" s="112" t="s">
        <v>531</v>
      </c>
      <c r="O61" s="112" t="s">
        <v>531</v>
      </c>
      <c r="P61" s="112" t="s">
        <v>531</v>
      </c>
      <c r="Q61" s="112" t="s">
        <v>531</v>
      </c>
      <c r="R61" s="112" t="s">
        <v>541</v>
      </c>
      <c r="S61" s="112"/>
      <c r="T61" s="112"/>
      <c r="U61" s="112">
        <f>VLOOKUP(B61,'pkg Technology'!$A$8:$AF$132,30,FALSE)</f>
        <v>358.45920000000001</v>
      </c>
      <c r="V61" s="110"/>
      <c r="W61" s="112">
        <f>VLOOKUP(B61,'pkg Technology'!$A$8:$AF$132,29,FALSE)</f>
        <v>3955.3067999999998</v>
      </c>
      <c r="X61" s="112"/>
      <c r="Y61" s="112">
        <f>ROUND(VLOOKUP(B61,'pkg Technology'!$A$8:$AF$132,31,FALSE),1)</f>
        <v>2</v>
      </c>
      <c r="Z61" s="112">
        <f>ROUND(VLOOKUP(B61,'pkg Technology'!$A$8:$AF$132,32,FALSE),0)</f>
        <v>5</v>
      </c>
      <c r="AA61" s="112"/>
      <c r="AB61" s="112" t="s">
        <v>542</v>
      </c>
      <c r="AC61" s="112" t="s">
        <v>543</v>
      </c>
      <c r="AD61" s="112" t="s">
        <v>531</v>
      </c>
      <c r="AE61" s="112">
        <v>0</v>
      </c>
      <c r="AF61" s="114">
        <v>42005</v>
      </c>
      <c r="AG61" s="112"/>
      <c r="AH61" s="112" t="s">
        <v>544</v>
      </c>
      <c r="AI61" s="112" t="s">
        <v>545</v>
      </c>
      <c r="AJ61" s="112" t="str">
        <f>"Total Material cost = "&amp;W61&amp;" + "&amp;U61&amp;" * Number of Units ("&amp;D61&amp;"); Only units between "&amp;Y61&amp;" and "&amp;Z61&amp;" tons can be claimed with this cost reference; Constant and perUnit costs include contractor markup of "&amp;TEXT(VLOOKUP(B61,'pkg Technology'!$A$8:$Z$200,26,FALSE)*100,"00")&amp;"%"</f>
        <v>Total Material cost = 3955.3068 + 358.4592 * Number of Units (Cap-Ton); Only units between 2 and 5 tons can be claimed with this cost reference; Constant and perUnit costs include contractor markup of 20%</v>
      </c>
    </row>
    <row r="62" spans="1:36" s="10" customFormat="1">
      <c r="A62" s="112" t="s">
        <v>531</v>
      </c>
      <c r="B62" s="112" t="s">
        <v>337</v>
      </c>
      <c r="C62" s="110" t="s">
        <v>532</v>
      </c>
      <c r="D62" s="112" t="s">
        <v>533</v>
      </c>
      <c r="E62" s="112" t="s">
        <v>534</v>
      </c>
      <c r="F62" s="112" t="s">
        <v>535</v>
      </c>
      <c r="G62" s="112" t="s">
        <v>536</v>
      </c>
      <c r="H62" s="112" t="s">
        <v>116</v>
      </c>
      <c r="I62" s="112" t="s">
        <v>537</v>
      </c>
      <c r="J62" s="112" t="s">
        <v>538</v>
      </c>
      <c r="K62" s="112" t="s">
        <v>539</v>
      </c>
      <c r="L62" s="112" t="s">
        <v>546</v>
      </c>
      <c r="M62" s="112" t="s">
        <v>337</v>
      </c>
      <c r="N62" s="112" t="s">
        <v>531</v>
      </c>
      <c r="O62" s="112" t="s">
        <v>531</v>
      </c>
      <c r="P62" s="112" t="s">
        <v>531</v>
      </c>
      <c r="Q62" s="112" t="s">
        <v>531</v>
      </c>
      <c r="R62" s="112" t="s">
        <v>541</v>
      </c>
      <c r="S62" s="112"/>
      <c r="T62" s="112"/>
      <c r="U62" s="112">
        <f>VLOOKUP(B62,'pkg Technology'!$A$8:$AF$132,30,FALSE)</f>
        <v>358.45920000000001</v>
      </c>
      <c r="V62" s="110"/>
      <c r="W62" s="112">
        <f>VLOOKUP(B62,'pkg Technology'!$A$8:$AF$132,29,FALSE)</f>
        <v>2677.6308000000004</v>
      </c>
      <c r="X62" s="112"/>
      <c r="Y62" s="112">
        <f>ROUND(VLOOKUP(B62,'pkg Technology'!$A$8:$AF$132,31,FALSE),1)</f>
        <v>2</v>
      </c>
      <c r="Z62" s="112">
        <f>ROUND(VLOOKUP(B62,'pkg Technology'!$A$8:$AF$132,32,FALSE),0)</f>
        <v>5</v>
      </c>
      <c r="AA62" s="112"/>
      <c r="AB62" s="112" t="s">
        <v>542</v>
      </c>
      <c r="AC62" s="112" t="s">
        <v>543</v>
      </c>
      <c r="AD62" s="112" t="s">
        <v>531</v>
      </c>
      <c r="AE62" s="112">
        <v>0</v>
      </c>
      <c r="AF62" s="114">
        <v>42005</v>
      </c>
      <c r="AG62" s="112"/>
      <c r="AH62" s="112" t="s">
        <v>544</v>
      </c>
      <c r="AI62" s="112" t="s">
        <v>545</v>
      </c>
      <c r="AJ62" s="112" t="str">
        <f>"Total Material cost = "&amp;W62&amp;" + "&amp;U62&amp;" * Number of Units ("&amp;D62&amp;"); Only units between "&amp;Y62&amp;" and "&amp;Z62&amp;" tons can be claimed with this cost reference; Constant and perUnit costs include contractor markup of "&amp;TEXT(VLOOKUP(B62,'pkg Technology'!$A$8:$Z$200,26,FALSE)*100,"00")&amp;"%"</f>
        <v>Total Material cost = 2677.6308 + 358.4592 * Number of Units (Cap-Ton); Only units between 2 and 5 tons can be claimed with this cost reference; Constant and perUnit costs include contractor markup of 20%</v>
      </c>
    </row>
    <row r="63" spans="1:36" s="10" customFormat="1">
      <c r="A63" s="112" t="s">
        <v>531</v>
      </c>
      <c r="B63" s="112" t="s">
        <v>339</v>
      </c>
      <c r="C63" s="110" t="s">
        <v>532</v>
      </c>
      <c r="D63" s="112" t="s">
        <v>533</v>
      </c>
      <c r="E63" s="112" t="s">
        <v>534</v>
      </c>
      <c r="F63" s="112" t="s">
        <v>535</v>
      </c>
      <c r="G63" s="112" t="s">
        <v>536</v>
      </c>
      <c r="H63" s="112" t="s">
        <v>116</v>
      </c>
      <c r="I63" s="112" t="s">
        <v>537</v>
      </c>
      <c r="J63" s="112" t="s">
        <v>538</v>
      </c>
      <c r="K63" s="112" t="s">
        <v>539</v>
      </c>
      <c r="L63" s="112" t="s">
        <v>546</v>
      </c>
      <c r="M63" s="112" t="s">
        <v>339</v>
      </c>
      <c r="N63" s="112" t="s">
        <v>531</v>
      </c>
      <c r="O63" s="112" t="s">
        <v>531</v>
      </c>
      <c r="P63" s="112" t="s">
        <v>531</v>
      </c>
      <c r="Q63" s="112" t="s">
        <v>531</v>
      </c>
      <c r="R63" s="112" t="s">
        <v>541</v>
      </c>
      <c r="S63" s="112"/>
      <c r="T63" s="112"/>
      <c r="U63" s="112">
        <f>VLOOKUP(B63,'pkg Technology'!$A$8:$AF$132,30,FALSE)</f>
        <v>358.45920000000001</v>
      </c>
      <c r="V63" s="110"/>
      <c r="W63" s="112">
        <f>VLOOKUP(B63,'pkg Technology'!$A$8:$AF$132,29,FALSE)</f>
        <v>3103.5228000000002</v>
      </c>
      <c r="X63" s="112"/>
      <c r="Y63" s="112">
        <f>ROUND(VLOOKUP(B63,'pkg Technology'!$A$8:$AF$132,31,FALSE),1)</f>
        <v>2</v>
      </c>
      <c r="Z63" s="112">
        <f>ROUND(VLOOKUP(B63,'pkg Technology'!$A$8:$AF$132,32,FALSE),0)</f>
        <v>5</v>
      </c>
      <c r="AA63" s="112"/>
      <c r="AB63" s="112" t="s">
        <v>542</v>
      </c>
      <c r="AC63" s="112" t="s">
        <v>543</v>
      </c>
      <c r="AD63" s="112" t="s">
        <v>531</v>
      </c>
      <c r="AE63" s="112">
        <v>0</v>
      </c>
      <c r="AF63" s="114">
        <v>42005</v>
      </c>
      <c r="AG63" s="112"/>
      <c r="AH63" s="112" t="s">
        <v>544</v>
      </c>
      <c r="AI63" s="112" t="s">
        <v>545</v>
      </c>
      <c r="AJ63" s="112" t="str">
        <f>"Total Material cost = "&amp;W63&amp;" + "&amp;U63&amp;" * Number of Units ("&amp;D63&amp;"); Only units between "&amp;Y63&amp;" and "&amp;Z63&amp;" tons can be claimed with this cost reference; Constant and perUnit costs include contractor markup of "&amp;TEXT(VLOOKUP(B63,'pkg Technology'!$A$8:$Z$200,26,FALSE)*100,"00")&amp;"%"</f>
        <v>Total Material cost = 3103.5228 + 358.4592 * Number of Units (Cap-Ton); Only units between 2 and 5 tons can be claimed with this cost reference; Constant and perUnit costs include contractor markup of 20%</v>
      </c>
    </row>
    <row r="64" spans="1:36" s="10" customFormat="1">
      <c r="A64" s="112" t="s">
        <v>531</v>
      </c>
      <c r="B64" s="112" t="s">
        <v>341</v>
      </c>
      <c r="C64" s="110" t="s">
        <v>532</v>
      </c>
      <c r="D64" s="112" t="s">
        <v>533</v>
      </c>
      <c r="E64" s="112" t="s">
        <v>534</v>
      </c>
      <c r="F64" s="112" t="s">
        <v>535</v>
      </c>
      <c r="G64" s="112" t="s">
        <v>536</v>
      </c>
      <c r="H64" s="112" t="s">
        <v>116</v>
      </c>
      <c r="I64" s="112" t="s">
        <v>537</v>
      </c>
      <c r="J64" s="112" t="s">
        <v>538</v>
      </c>
      <c r="K64" s="112" t="s">
        <v>539</v>
      </c>
      <c r="L64" s="112" t="s">
        <v>546</v>
      </c>
      <c r="M64" s="112" t="s">
        <v>341</v>
      </c>
      <c r="N64" s="112" t="s">
        <v>531</v>
      </c>
      <c r="O64" s="112" t="s">
        <v>531</v>
      </c>
      <c r="P64" s="112" t="s">
        <v>531</v>
      </c>
      <c r="Q64" s="112" t="s">
        <v>531</v>
      </c>
      <c r="R64" s="112" t="s">
        <v>541</v>
      </c>
      <c r="S64" s="112"/>
      <c r="T64" s="112"/>
      <c r="U64" s="112">
        <f>VLOOKUP(B64,'pkg Technology'!$A$8:$AF$132,30,FALSE)</f>
        <v>358.45920000000001</v>
      </c>
      <c r="V64" s="110"/>
      <c r="W64" s="112">
        <f>VLOOKUP(B64,'pkg Technology'!$A$8:$AF$132,29,FALSE)</f>
        <v>3529.4148</v>
      </c>
      <c r="X64" s="112"/>
      <c r="Y64" s="112">
        <f>ROUND(VLOOKUP(B64,'pkg Technology'!$A$8:$AF$132,31,FALSE),1)</f>
        <v>2</v>
      </c>
      <c r="Z64" s="112">
        <f>ROUND(VLOOKUP(B64,'pkg Technology'!$A$8:$AF$132,32,FALSE),0)</f>
        <v>5</v>
      </c>
      <c r="AA64" s="112"/>
      <c r="AB64" s="112" t="s">
        <v>542</v>
      </c>
      <c r="AC64" s="112" t="s">
        <v>543</v>
      </c>
      <c r="AD64" s="112" t="s">
        <v>531</v>
      </c>
      <c r="AE64" s="112">
        <v>0</v>
      </c>
      <c r="AF64" s="114">
        <v>42005</v>
      </c>
      <c r="AG64" s="112"/>
      <c r="AH64" s="112" t="s">
        <v>544</v>
      </c>
      <c r="AI64" s="112" t="s">
        <v>545</v>
      </c>
      <c r="AJ64" s="112" t="str">
        <f>"Total Material cost = "&amp;W64&amp;" + "&amp;U64&amp;" * Number of Units ("&amp;D64&amp;"); Only units between "&amp;Y64&amp;" and "&amp;Z64&amp;" tons can be claimed with this cost reference; Constant and perUnit costs include contractor markup of "&amp;TEXT(VLOOKUP(B64,'pkg Technology'!$A$8:$Z$200,26,FALSE)*100,"00")&amp;"%"</f>
        <v>Total Material cost = 3529.4148 + 358.4592 * Number of Units (Cap-Ton); Only units between 2 and 5 tons can be claimed with this cost reference; Constant and perUnit costs include contractor markup of 20%</v>
      </c>
    </row>
    <row r="65" spans="1:36" s="10" customFormat="1">
      <c r="A65" s="112" t="s">
        <v>531</v>
      </c>
      <c r="B65" s="112" t="s">
        <v>343</v>
      </c>
      <c r="C65" s="110" t="s">
        <v>532</v>
      </c>
      <c r="D65" s="112" t="s">
        <v>533</v>
      </c>
      <c r="E65" s="112" t="s">
        <v>534</v>
      </c>
      <c r="F65" s="112" t="s">
        <v>535</v>
      </c>
      <c r="G65" s="112" t="s">
        <v>536</v>
      </c>
      <c r="H65" s="112" t="s">
        <v>116</v>
      </c>
      <c r="I65" s="112" t="s">
        <v>537</v>
      </c>
      <c r="J65" s="112" t="s">
        <v>538</v>
      </c>
      <c r="K65" s="112" t="s">
        <v>539</v>
      </c>
      <c r="L65" s="112" t="s">
        <v>546</v>
      </c>
      <c r="M65" s="112" t="s">
        <v>343</v>
      </c>
      <c r="N65" s="112" t="s">
        <v>531</v>
      </c>
      <c r="O65" s="112" t="s">
        <v>531</v>
      </c>
      <c r="P65" s="112" t="s">
        <v>531</v>
      </c>
      <c r="Q65" s="112" t="s">
        <v>531</v>
      </c>
      <c r="R65" s="112" t="s">
        <v>541</v>
      </c>
      <c r="S65" s="112"/>
      <c r="T65" s="112"/>
      <c r="U65" s="112">
        <f>VLOOKUP(B65,'pkg Technology'!$A$8:$AF$132,30,FALSE)</f>
        <v>358.45920000000001</v>
      </c>
      <c r="V65" s="110"/>
      <c r="W65" s="112">
        <f>VLOOKUP(B65,'pkg Technology'!$A$8:$AF$132,29,FALSE)</f>
        <v>3955.3067999999998</v>
      </c>
      <c r="X65" s="112"/>
      <c r="Y65" s="112">
        <f>ROUND(VLOOKUP(B65,'pkg Technology'!$A$8:$AF$132,31,FALSE),1)</f>
        <v>2</v>
      </c>
      <c r="Z65" s="112">
        <f>ROUND(VLOOKUP(B65,'pkg Technology'!$A$8:$AF$132,32,FALSE),0)</f>
        <v>5</v>
      </c>
      <c r="AA65" s="112"/>
      <c r="AB65" s="112" t="s">
        <v>542</v>
      </c>
      <c r="AC65" s="112" t="s">
        <v>543</v>
      </c>
      <c r="AD65" s="112" t="s">
        <v>531</v>
      </c>
      <c r="AE65" s="112">
        <v>0</v>
      </c>
      <c r="AF65" s="114">
        <v>42005</v>
      </c>
      <c r="AG65" s="112"/>
      <c r="AH65" s="112" t="s">
        <v>544</v>
      </c>
      <c r="AI65" s="112" t="s">
        <v>545</v>
      </c>
      <c r="AJ65" s="112" t="str">
        <f>"Total Material cost = "&amp;W65&amp;" + "&amp;U65&amp;" * Number of Units ("&amp;D65&amp;"); Only units between "&amp;Y65&amp;" and "&amp;Z65&amp;" tons can be claimed with this cost reference; Constant and perUnit costs include contractor markup of "&amp;TEXT(VLOOKUP(B65,'pkg Technology'!$A$8:$Z$200,26,FALSE)*100,"00")&amp;"%"</f>
        <v>Total Material cost = 3955.3068 + 358.4592 * Number of Units (Cap-Ton); Only units between 2 and 5 tons can be claimed with this cost reference; Constant and perUnit costs include contractor markup of 20%</v>
      </c>
    </row>
    <row r="66" spans="1:36" s="10" customFormat="1">
      <c r="A66" s="112" t="s">
        <v>531</v>
      </c>
      <c r="B66" s="112" t="s">
        <v>349</v>
      </c>
      <c r="C66" s="110" t="s">
        <v>532</v>
      </c>
      <c r="D66" s="112" t="s">
        <v>533</v>
      </c>
      <c r="E66" s="112" t="s">
        <v>534</v>
      </c>
      <c r="F66" s="112" t="s">
        <v>535</v>
      </c>
      <c r="G66" s="112" t="s">
        <v>536</v>
      </c>
      <c r="H66" s="112" t="s">
        <v>116</v>
      </c>
      <c r="I66" s="112" t="s">
        <v>537</v>
      </c>
      <c r="J66" s="112" t="s">
        <v>538</v>
      </c>
      <c r="K66" s="112" t="s">
        <v>539</v>
      </c>
      <c r="L66" s="112" t="s">
        <v>547</v>
      </c>
      <c r="M66" s="112" t="s">
        <v>349</v>
      </c>
      <c r="N66" s="112" t="s">
        <v>531</v>
      </c>
      <c r="O66" s="112" t="s">
        <v>531</v>
      </c>
      <c r="P66" s="112" t="s">
        <v>531</v>
      </c>
      <c r="Q66" s="112" t="s">
        <v>531</v>
      </c>
      <c r="R66" s="112" t="s">
        <v>541</v>
      </c>
      <c r="S66" s="112"/>
      <c r="T66" s="112"/>
      <c r="U66" s="112">
        <f>VLOOKUP(B66,'pkg Technology'!$A$8:$AF$132,30,FALSE)</f>
        <v>594.5616</v>
      </c>
      <c r="V66" s="110"/>
      <c r="W66" s="112">
        <f>VLOOKUP(B66,'pkg Technology'!$A$8:$AF$132,29,FALSE)</f>
        <v>549.2484000000004</v>
      </c>
      <c r="X66" s="112"/>
      <c r="Y66" s="112">
        <f>ROUND(VLOOKUP(B66,'pkg Technology'!$A$8:$AF$132,31,FALSE),1)</f>
        <v>1.5</v>
      </c>
      <c r="Z66" s="112">
        <f>ROUND(VLOOKUP(B66,'pkg Technology'!$A$8:$AF$132,32,FALSE),0)</f>
        <v>5</v>
      </c>
      <c r="AA66" s="112"/>
      <c r="AB66" s="112" t="s">
        <v>542</v>
      </c>
      <c r="AC66" s="112" t="s">
        <v>543</v>
      </c>
      <c r="AD66" s="112" t="s">
        <v>531</v>
      </c>
      <c r="AE66" s="112">
        <v>0</v>
      </c>
      <c r="AF66" s="114">
        <v>42005</v>
      </c>
      <c r="AG66" s="112"/>
      <c r="AH66" s="112" t="s">
        <v>544</v>
      </c>
      <c r="AI66" s="112" t="s">
        <v>545</v>
      </c>
      <c r="AJ66" s="112" t="str">
        <f>"Total Material cost = "&amp;W66&amp;" + "&amp;U66&amp;" * Number of Units ("&amp;D66&amp;"); Only units between "&amp;Y66&amp;" and "&amp;Z66&amp;" tons can be claimed with this cost reference; Constant and perUnit costs include contractor markup of "&amp;TEXT(VLOOKUP(B66,'pkg Technology'!$A$8:$Z$200,26,FALSE)*100,"00")&amp;"%"</f>
        <v>Total Material cost = 549.2484 + 594.5616 * Number of Units (Cap-Ton); Only units between 1.5 and 5 tons can be claimed with this cost reference; Constant and perUnit costs include contractor markup of 20%</v>
      </c>
    </row>
    <row r="67" spans="1:36" s="10" customFormat="1">
      <c r="A67" s="112" t="s">
        <v>531</v>
      </c>
      <c r="B67" s="112" t="s">
        <v>351</v>
      </c>
      <c r="C67" s="110" t="s">
        <v>532</v>
      </c>
      <c r="D67" s="112" t="s">
        <v>533</v>
      </c>
      <c r="E67" s="112" t="s">
        <v>534</v>
      </c>
      <c r="F67" s="112" t="s">
        <v>535</v>
      </c>
      <c r="G67" s="112" t="s">
        <v>536</v>
      </c>
      <c r="H67" s="112" t="s">
        <v>116</v>
      </c>
      <c r="I67" s="112" t="s">
        <v>537</v>
      </c>
      <c r="J67" s="112" t="s">
        <v>538</v>
      </c>
      <c r="K67" s="112" t="s">
        <v>539</v>
      </c>
      <c r="L67" s="112" t="s">
        <v>547</v>
      </c>
      <c r="M67" s="112" t="s">
        <v>351</v>
      </c>
      <c r="N67" s="112" t="s">
        <v>531</v>
      </c>
      <c r="O67" s="112" t="s">
        <v>531</v>
      </c>
      <c r="P67" s="112" t="s">
        <v>531</v>
      </c>
      <c r="Q67" s="112" t="s">
        <v>531</v>
      </c>
      <c r="R67" s="112" t="s">
        <v>541</v>
      </c>
      <c r="S67" s="112"/>
      <c r="T67" s="112"/>
      <c r="U67" s="112">
        <f>VLOOKUP(B67,'pkg Technology'!$A$8:$AF$132,30,FALSE)</f>
        <v>594.5616</v>
      </c>
      <c r="V67" s="110"/>
      <c r="W67" s="112">
        <f>VLOOKUP(B67,'pkg Technology'!$A$8:$AF$132,29,FALSE)</f>
        <v>1097.5404000000001</v>
      </c>
      <c r="X67" s="112"/>
      <c r="Y67" s="112">
        <f>ROUND(VLOOKUP(B67,'pkg Technology'!$A$8:$AF$132,31,FALSE),1)</f>
        <v>1.5</v>
      </c>
      <c r="Z67" s="112">
        <f>ROUND(VLOOKUP(B67,'pkg Technology'!$A$8:$AF$132,32,FALSE),0)</f>
        <v>5</v>
      </c>
      <c r="AA67" s="112"/>
      <c r="AB67" s="112" t="s">
        <v>542</v>
      </c>
      <c r="AC67" s="112" t="s">
        <v>543</v>
      </c>
      <c r="AD67" s="112" t="s">
        <v>531</v>
      </c>
      <c r="AE67" s="112">
        <v>0</v>
      </c>
      <c r="AF67" s="114">
        <v>42005</v>
      </c>
      <c r="AG67" s="112"/>
      <c r="AH67" s="112" t="s">
        <v>544</v>
      </c>
      <c r="AI67" s="112" t="s">
        <v>545</v>
      </c>
      <c r="AJ67" s="112" t="str">
        <f>"Total Material cost = "&amp;W67&amp;" + "&amp;U67&amp;" * Number of Units ("&amp;D67&amp;"); Only units between "&amp;Y67&amp;" and "&amp;Z67&amp;" tons can be claimed with this cost reference; Constant and perUnit costs include contractor markup of "&amp;TEXT(VLOOKUP(B67,'pkg Technology'!$A$8:$Z$200,26,FALSE)*100,"00")&amp;"%"</f>
        <v>Total Material cost = 1097.5404 + 594.5616 * Number of Units (Cap-Ton); Only units between 1.5 and 5 tons can be claimed with this cost reference; Constant and perUnit costs include contractor markup of 20%</v>
      </c>
    </row>
    <row r="68" spans="1:36" s="10" customFormat="1">
      <c r="A68" s="112" t="s">
        <v>531</v>
      </c>
      <c r="B68" s="112" t="s">
        <v>353</v>
      </c>
      <c r="C68" s="110" t="s">
        <v>532</v>
      </c>
      <c r="D68" s="112" t="s">
        <v>533</v>
      </c>
      <c r="E68" s="112" t="s">
        <v>534</v>
      </c>
      <c r="F68" s="112" t="s">
        <v>535</v>
      </c>
      <c r="G68" s="112" t="s">
        <v>536</v>
      </c>
      <c r="H68" s="112" t="s">
        <v>116</v>
      </c>
      <c r="I68" s="112" t="s">
        <v>537</v>
      </c>
      <c r="J68" s="112" t="s">
        <v>538</v>
      </c>
      <c r="K68" s="112" t="s">
        <v>539</v>
      </c>
      <c r="L68" s="112" t="s">
        <v>547</v>
      </c>
      <c r="M68" s="112" t="s">
        <v>353</v>
      </c>
      <c r="N68" s="112" t="s">
        <v>531</v>
      </c>
      <c r="O68" s="112" t="s">
        <v>531</v>
      </c>
      <c r="P68" s="112" t="s">
        <v>531</v>
      </c>
      <c r="Q68" s="112" t="s">
        <v>531</v>
      </c>
      <c r="R68" s="112" t="s">
        <v>541</v>
      </c>
      <c r="S68" s="112"/>
      <c r="T68" s="112"/>
      <c r="U68" s="112">
        <f>VLOOKUP(B68,'pkg Technology'!$A$8:$AF$132,30,FALSE)</f>
        <v>594.5616</v>
      </c>
      <c r="V68" s="110"/>
      <c r="W68" s="112">
        <f>VLOOKUP(B68,'pkg Technology'!$A$8:$AF$132,29,FALSE)</f>
        <v>1645.8324</v>
      </c>
      <c r="X68" s="112"/>
      <c r="Y68" s="112">
        <f>ROUND(VLOOKUP(B68,'pkg Technology'!$A$8:$AF$132,31,FALSE),1)</f>
        <v>1.5</v>
      </c>
      <c r="Z68" s="112">
        <f>ROUND(VLOOKUP(B68,'pkg Technology'!$A$8:$AF$132,32,FALSE),0)</f>
        <v>5</v>
      </c>
      <c r="AA68" s="112"/>
      <c r="AB68" s="112" t="s">
        <v>542</v>
      </c>
      <c r="AC68" s="112" t="s">
        <v>543</v>
      </c>
      <c r="AD68" s="112" t="s">
        <v>531</v>
      </c>
      <c r="AE68" s="112">
        <v>0</v>
      </c>
      <c r="AF68" s="114">
        <v>42005</v>
      </c>
      <c r="AG68" s="112"/>
      <c r="AH68" s="112" t="s">
        <v>544</v>
      </c>
      <c r="AI68" s="112" t="s">
        <v>545</v>
      </c>
      <c r="AJ68" s="112" t="str">
        <f>"Total Material cost = "&amp;W68&amp;" + "&amp;U68&amp;" * Number of Units ("&amp;D68&amp;"); Only units between "&amp;Y68&amp;" and "&amp;Z68&amp;" tons can be claimed with this cost reference; Constant and perUnit costs include contractor markup of "&amp;TEXT(VLOOKUP(B68,'pkg Technology'!$A$8:$Z$200,26,FALSE)*100,"00")&amp;"%"</f>
        <v>Total Material cost = 1645.8324 + 594.5616 * Number of Units (Cap-Ton); Only units between 1.5 and 5 tons can be claimed with this cost reference; Constant and perUnit costs include contractor markup of 20%</v>
      </c>
    </row>
    <row r="69" spans="1:36" s="10" customFormat="1">
      <c r="A69" s="112" t="s">
        <v>531</v>
      </c>
      <c r="B69" s="112" t="s">
        <v>355</v>
      </c>
      <c r="C69" s="110" t="s">
        <v>532</v>
      </c>
      <c r="D69" s="112" t="s">
        <v>533</v>
      </c>
      <c r="E69" s="112" t="s">
        <v>534</v>
      </c>
      <c r="F69" s="112" t="s">
        <v>535</v>
      </c>
      <c r="G69" s="112" t="s">
        <v>536</v>
      </c>
      <c r="H69" s="112" t="s">
        <v>116</v>
      </c>
      <c r="I69" s="112" t="s">
        <v>537</v>
      </c>
      <c r="J69" s="112" t="s">
        <v>538</v>
      </c>
      <c r="K69" s="112" t="s">
        <v>539</v>
      </c>
      <c r="L69" s="112" t="s">
        <v>547</v>
      </c>
      <c r="M69" s="112" t="s">
        <v>355</v>
      </c>
      <c r="N69" s="112" t="s">
        <v>531</v>
      </c>
      <c r="O69" s="112" t="s">
        <v>531</v>
      </c>
      <c r="P69" s="112" t="s">
        <v>531</v>
      </c>
      <c r="Q69" s="112" t="s">
        <v>531</v>
      </c>
      <c r="R69" s="112" t="s">
        <v>541</v>
      </c>
      <c r="S69" s="112"/>
      <c r="T69" s="112"/>
      <c r="U69" s="112">
        <f>VLOOKUP(B69,'pkg Technology'!$A$8:$AF$132,30,FALSE)</f>
        <v>594.5616</v>
      </c>
      <c r="V69" s="110"/>
      <c r="W69" s="112">
        <f>VLOOKUP(B69,'pkg Technology'!$A$8:$AF$132,29,FALSE)</f>
        <v>2194.1243999999997</v>
      </c>
      <c r="X69" s="112"/>
      <c r="Y69" s="112">
        <f>ROUND(VLOOKUP(B69,'pkg Technology'!$A$8:$AF$132,31,FALSE),1)</f>
        <v>1.5</v>
      </c>
      <c r="Z69" s="112">
        <f>ROUND(VLOOKUP(B69,'pkg Technology'!$A$8:$AF$132,32,FALSE),0)</f>
        <v>5</v>
      </c>
      <c r="AA69" s="112"/>
      <c r="AB69" s="112" t="s">
        <v>542</v>
      </c>
      <c r="AC69" s="112" t="s">
        <v>543</v>
      </c>
      <c r="AD69" s="112" t="s">
        <v>531</v>
      </c>
      <c r="AE69" s="112">
        <v>0</v>
      </c>
      <c r="AF69" s="114">
        <v>42005</v>
      </c>
      <c r="AG69" s="112"/>
      <c r="AH69" s="112" t="s">
        <v>544</v>
      </c>
      <c r="AI69" s="112" t="s">
        <v>545</v>
      </c>
      <c r="AJ69" s="112" t="str">
        <f>"Total Material cost = "&amp;W69&amp;" + "&amp;U69&amp;" * Number of Units ("&amp;D69&amp;"); Only units between "&amp;Y69&amp;" and "&amp;Z69&amp;" tons can be claimed with this cost reference; Constant and perUnit costs include contractor markup of "&amp;TEXT(VLOOKUP(B69,'pkg Technology'!$A$8:$Z$200,26,FALSE)*100,"00")&amp;"%"</f>
        <v>Total Material cost = 2194.1244 + 594.5616 * Number of Units (Cap-Ton); Only units between 1.5 and 5 tons can be claimed with this cost reference; Constant and perUnit costs include contractor markup of 20%</v>
      </c>
    </row>
    <row r="70" spans="1:36" s="10" customFormat="1">
      <c r="A70" s="112" t="s">
        <v>531</v>
      </c>
      <c r="B70" s="112" t="s">
        <v>357</v>
      </c>
      <c r="C70" s="110" t="s">
        <v>532</v>
      </c>
      <c r="D70" s="112" t="s">
        <v>533</v>
      </c>
      <c r="E70" s="112" t="s">
        <v>534</v>
      </c>
      <c r="F70" s="112" t="s">
        <v>535</v>
      </c>
      <c r="G70" s="112" t="s">
        <v>536</v>
      </c>
      <c r="H70" s="112" t="s">
        <v>116</v>
      </c>
      <c r="I70" s="112" t="s">
        <v>537</v>
      </c>
      <c r="J70" s="112" t="s">
        <v>538</v>
      </c>
      <c r="K70" s="112" t="s">
        <v>539</v>
      </c>
      <c r="L70" s="112" t="s">
        <v>547</v>
      </c>
      <c r="M70" s="112" t="s">
        <v>357</v>
      </c>
      <c r="N70" s="112" t="s">
        <v>531</v>
      </c>
      <c r="O70" s="112" t="s">
        <v>531</v>
      </c>
      <c r="P70" s="112" t="s">
        <v>531</v>
      </c>
      <c r="Q70" s="112" t="s">
        <v>531</v>
      </c>
      <c r="R70" s="112" t="s">
        <v>541</v>
      </c>
      <c r="S70" s="112"/>
      <c r="T70" s="112"/>
      <c r="U70" s="112">
        <f>VLOOKUP(B70,'pkg Technology'!$A$8:$AF$132,30,FALSE)</f>
        <v>594.5616</v>
      </c>
      <c r="V70" s="110"/>
      <c r="W70" s="112">
        <f>VLOOKUP(B70,'pkg Technology'!$A$8:$AF$132,29,FALSE)</f>
        <v>2742.4164000000005</v>
      </c>
      <c r="X70" s="112"/>
      <c r="Y70" s="112">
        <f>ROUND(VLOOKUP(B70,'pkg Technology'!$A$8:$AF$132,31,FALSE),1)</f>
        <v>1.5</v>
      </c>
      <c r="Z70" s="112">
        <f>ROUND(VLOOKUP(B70,'pkg Technology'!$A$8:$AF$132,32,FALSE),0)</f>
        <v>5</v>
      </c>
      <c r="AA70" s="112"/>
      <c r="AB70" s="112" t="s">
        <v>542</v>
      </c>
      <c r="AC70" s="112" t="s">
        <v>543</v>
      </c>
      <c r="AD70" s="112" t="s">
        <v>531</v>
      </c>
      <c r="AE70" s="112">
        <v>0</v>
      </c>
      <c r="AF70" s="114">
        <v>42005</v>
      </c>
      <c r="AG70" s="112"/>
      <c r="AH70" s="112" t="s">
        <v>544</v>
      </c>
      <c r="AI70" s="112" t="s">
        <v>545</v>
      </c>
      <c r="AJ70" s="112" t="str">
        <f>"Total Material cost = "&amp;W70&amp;" + "&amp;U70&amp;" * Number of Units ("&amp;D70&amp;"); Only units between "&amp;Y70&amp;" and "&amp;Z70&amp;" tons can be claimed with this cost reference; Constant and perUnit costs include contractor markup of "&amp;TEXT(VLOOKUP(B70,'pkg Technology'!$A$8:$Z$200,26,FALSE)*100,"00")&amp;"%"</f>
        <v>Total Material cost = 2742.4164 + 594.5616 * Number of Units (Cap-Ton); Only units between 1.5 and 5 tons can be claimed with this cost reference; Constant and perUnit costs include contractor markup of 20%</v>
      </c>
    </row>
    <row r="71" spans="1:36" s="10" customFormat="1">
      <c r="A71" s="112" t="s">
        <v>531</v>
      </c>
      <c r="B71" s="112" t="s">
        <v>359</v>
      </c>
      <c r="C71" s="110" t="s">
        <v>532</v>
      </c>
      <c r="D71" s="112" t="s">
        <v>533</v>
      </c>
      <c r="E71" s="112" t="s">
        <v>534</v>
      </c>
      <c r="F71" s="112" t="s">
        <v>535</v>
      </c>
      <c r="G71" s="112" t="s">
        <v>536</v>
      </c>
      <c r="H71" s="112" t="s">
        <v>116</v>
      </c>
      <c r="I71" s="112" t="s">
        <v>537</v>
      </c>
      <c r="J71" s="112" t="s">
        <v>538</v>
      </c>
      <c r="K71" s="112" t="s">
        <v>539</v>
      </c>
      <c r="L71" s="112" t="s">
        <v>547</v>
      </c>
      <c r="M71" s="112" t="s">
        <v>359</v>
      </c>
      <c r="N71" s="112" t="s">
        <v>531</v>
      </c>
      <c r="O71" s="112" t="s">
        <v>531</v>
      </c>
      <c r="P71" s="112" t="s">
        <v>531</v>
      </c>
      <c r="Q71" s="112" t="s">
        <v>531</v>
      </c>
      <c r="R71" s="112" t="s">
        <v>541</v>
      </c>
      <c r="S71" s="112"/>
      <c r="T71" s="112"/>
      <c r="U71" s="112">
        <f>VLOOKUP(B71,'pkg Technology'!$A$8:$AF$132,30,FALSE)</f>
        <v>594.5616</v>
      </c>
      <c r="V71" s="110"/>
      <c r="W71" s="112">
        <f>VLOOKUP(B71,'pkg Technology'!$A$8:$AF$132,29,FALSE)</f>
        <v>549.2484000000004</v>
      </c>
      <c r="X71" s="112"/>
      <c r="Y71" s="112">
        <f>ROUND(VLOOKUP(B71,'pkg Technology'!$A$8:$AF$132,31,FALSE),1)</f>
        <v>1.5</v>
      </c>
      <c r="Z71" s="112">
        <f>ROUND(VLOOKUP(B71,'pkg Technology'!$A$8:$AF$132,32,FALSE),0)</f>
        <v>5</v>
      </c>
      <c r="AA71" s="112"/>
      <c r="AB71" s="112" t="s">
        <v>542</v>
      </c>
      <c r="AC71" s="112" t="s">
        <v>543</v>
      </c>
      <c r="AD71" s="112" t="s">
        <v>531</v>
      </c>
      <c r="AE71" s="112">
        <v>0</v>
      </c>
      <c r="AF71" s="114">
        <v>42005</v>
      </c>
      <c r="AG71" s="112"/>
      <c r="AH71" s="112" t="s">
        <v>544</v>
      </c>
      <c r="AI71" s="112" t="s">
        <v>545</v>
      </c>
      <c r="AJ71" s="112" t="str">
        <f>"Total Material cost = "&amp;W71&amp;" + "&amp;U71&amp;" * Number of Units ("&amp;D71&amp;"); Only units between "&amp;Y71&amp;" and "&amp;Z71&amp;" tons can be claimed with this cost reference; Constant and perUnit costs include contractor markup of "&amp;TEXT(VLOOKUP(B71,'pkg Technology'!$A$8:$Z$200,26,FALSE)*100,"00")&amp;"%"</f>
        <v>Total Material cost = 549.2484 + 594.5616 * Number of Units (Cap-Ton); Only units between 1.5 and 5 tons can be claimed with this cost reference; Constant and perUnit costs include contractor markup of 20%</v>
      </c>
    </row>
    <row r="72" spans="1:36" s="10" customFormat="1">
      <c r="A72" s="112" t="s">
        <v>531</v>
      </c>
      <c r="B72" s="112" t="s">
        <v>361</v>
      </c>
      <c r="C72" s="110" t="s">
        <v>532</v>
      </c>
      <c r="D72" s="112" t="s">
        <v>533</v>
      </c>
      <c r="E72" s="112" t="s">
        <v>534</v>
      </c>
      <c r="F72" s="112" t="s">
        <v>535</v>
      </c>
      <c r="G72" s="112" t="s">
        <v>536</v>
      </c>
      <c r="H72" s="112" t="s">
        <v>116</v>
      </c>
      <c r="I72" s="112" t="s">
        <v>537</v>
      </c>
      <c r="J72" s="112" t="s">
        <v>538</v>
      </c>
      <c r="K72" s="112" t="s">
        <v>539</v>
      </c>
      <c r="L72" s="112" t="s">
        <v>547</v>
      </c>
      <c r="M72" s="112" t="s">
        <v>361</v>
      </c>
      <c r="N72" s="112" t="s">
        <v>531</v>
      </c>
      <c r="O72" s="112" t="s">
        <v>531</v>
      </c>
      <c r="P72" s="112" t="s">
        <v>531</v>
      </c>
      <c r="Q72" s="112" t="s">
        <v>531</v>
      </c>
      <c r="R72" s="112" t="s">
        <v>541</v>
      </c>
      <c r="S72" s="112"/>
      <c r="T72" s="112"/>
      <c r="U72" s="112">
        <f>VLOOKUP(B72,'pkg Technology'!$A$8:$AF$132,30,FALSE)</f>
        <v>594.5616</v>
      </c>
      <c r="V72" s="110"/>
      <c r="W72" s="112">
        <f>VLOOKUP(B72,'pkg Technology'!$A$8:$AF$132,29,FALSE)</f>
        <v>1097.5404000000001</v>
      </c>
      <c r="X72" s="112"/>
      <c r="Y72" s="112">
        <f>ROUND(VLOOKUP(B72,'pkg Technology'!$A$8:$AF$132,31,FALSE),1)</f>
        <v>1.5</v>
      </c>
      <c r="Z72" s="112">
        <f>ROUND(VLOOKUP(B72,'pkg Technology'!$A$8:$AF$132,32,FALSE),0)</f>
        <v>5</v>
      </c>
      <c r="AA72" s="112"/>
      <c r="AB72" s="112" t="s">
        <v>542</v>
      </c>
      <c r="AC72" s="112" t="s">
        <v>543</v>
      </c>
      <c r="AD72" s="112" t="s">
        <v>531</v>
      </c>
      <c r="AE72" s="112">
        <v>0</v>
      </c>
      <c r="AF72" s="114">
        <v>42005</v>
      </c>
      <c r="AG72" s="112"/>
      <c r="AH72" s="112" t="s">
        <v>544</v>
      </c>
      <c r="AI72" s="112" t="s">
        <v>545</v>
      </c>
      <c r="AJ72" s="112" t="str">
        <f>"Total Material cost = "&amp;W72&amp;" + "&amp;U72&amp;" * Number of Units ("&amp;D72&amp;"); Only units between "&amp;Y72&amp;" and "&amp;Z72&amp;" tons can be claimed with this cost reference; Constant and perUnit costs include contractor markup of "&amp;TEXT(VLOOKUP(B72,'pkg Technology'!$A$8:$Z$200,26,FALSE)*100,"00")&amp;"%"</f>
        <v>Total Material cost = 1097.5404 + 594.5616 * Number of Units (Cap-Ton); Only units between 1.5 and 5 tons can be claimed with this cost reference; Constant and perUnit costs include contractor markup of 20%</v>
      </c>
    </row>
    <row r="73" spans="1:36" s="10" customFormat="1">
      <c r="A73" s="112" t="s">
        <v>531</v>
      </c>
      <c r="B73" s="112" t="s">
        <v>363</v>
      </c>
      <c r="C73" s="110" t="s">
        <v>532</v>
      </c>
      <c r="D73" s="112" t="s">
        <v>533</v>
      </c>
      <c r="E73" s="112" t="s">
        <v>534</v>
      </c>
      <c r="F73" s="112" t="s">
        <v>535</v>
      </c>
      <c r="G73" s="112" t="s">
        <v>536</v>
      </c>
      <c r="H73" s="112" t="s">
        <v>116</v>
      </c>
      <c r="I73" s="112" t="s">
        <v>537</v>
      </c>
      <c r="J73" s="112" t="s">
        <v>538</v>
      </c>
      <c r="K73" s="112" t="s">
        <v>539</v>
      </c>
      <c r="L73" s="112" t="s">
        <v>547</v>
      </c>
      <c r="M73" s="112" t="s">
        <v>363</v>
      </c>
      <c r="N73" s="112" t="s">
        <v>531</v>
      </c>
      <c r="O73" s="112" t="s">
        <v>531</v>
      </c>
      <c r="P73" s="112" t="s">
        <v>531</v>
      </c>
      <c r="Q73" s="112" t="s">
        <v>531</v>
      </c>
      <c r="R73" s="112" t="s">
        <v>541</v>
      </c>
      <c r="S73" s="112"/>
      <c r="T73" s="112"/>
      <c r="U73" s="112">
        <f>VLOOKUP(B73,'pkg Technology'!$A$8:$AF$132,30,FALSE)</f>
        <v>594.5616</v>
      </c>
      <c r="V73" s="110"/>
      <c r="W73" s="112">
        <f>VLOOKUP(B73,'pkg Technology'!$A$8:$AF$132,29,FALSE)</f>
        <v>1645.8324</v>
      </c>
      <c r="X73" s="112"/>
      <c r="Y73" s="112">
        <f>ROUND(VLOOKUP(B73,'pkg Technology'!$A$8:$AF$132,31,FALSE),1)</f>
        <v>1.5</v>
      </c>
      <c r="Z73" s="112">
        <f>ROUND(VLOOKUP(B73,'pkg Technology'!$A$8:$AF$132,32,FALSE),0)</f>
        <v>5</v>
      </c>
      <c r="AA73" s="112"/>
      <c r="AB73" s="112" t="s">
        <v>542</v>
      </c>
      <c r="AC73" s="112" t="s">
        <v>543</v>
      </c>
      <c r="AD73" s="112" t="s">
        <v>531</v>
      </c>
      <c r="AE73" s="112">
        <v>0</v>
      </c>
      <c r="AF73" s="114">
        <v>42005</v>
      </c>
      <c r="AG73" s="112"/>
      <c r="AH73" s="112" t="s">
        <v>544</v>
      </c>
      <c r="AI73" s="112" t="s">
        <v>545</v>
      </c>
      <c r="AJ73" s="112" t="str">
        <f>"Total Material cost = "&amp;W73&amp;" + "&amp;U73&amp;" * Number of Units ("&amp;D73&amp;"); Only units between "&amp;Y73&amp;" and "&amp;Z73&amp;" tons can be claimed with this cost reference; Constant and perUnit costs include contractor markup of "&amp;TEXT(VLOOKUP(B73,'pkg Technology'!$A$8:$Z$200,26,FALSE)*100,"00")&amp;"%"</f>
        <v>Total Material cost = 1645.8324 + 594.5616 * Number of Units (Cap-Ton); Only units between 1.5 and 5 tons can be claimed with this cost reference; Constant and perUnit costs include contractor markup of 20%</v>
      </c>
    </row>
    <row r="74" spans="1:36" s="10" customFormat="1">
      <c r="A74" s="112" t="s">
        <v>531</v>
      </c>
      <c r="B74" s="112" t="s">
        <v>365</v>
      </c>
      <c r="C74" s="110" t="s">
        <v>532</v>
      </c>
      <c r="D74" s="112" t="s">
        <v>533</v>
      </c>
      <c r="E74" s="112" t="s">
        <v>534</v>
      </c>
      <c r="F74" s="112" t="s">
        <v>535</v>
      </c>
      <c r="G74" s="112" t="s">
        <v>536</v>
      </c>
      <c r="H74" s="112" t="s">
        <v>116</v>
      </c>
      <c r="I74" s="112" t="s">
        <v>537</v>
      </c>
      <c r="J74" s="112" t="s">
        <v>538</v>
      </c>
      <c r="K74" s="112" t="s">
        <v>539</v>
      </c>
      <c r="L74" s="112" t="s">
        <v>547</v>
      </c>
      <c r="M74" s="112" t="s">
        <v>365</v>
      </c>
      <c r="N74" s="112" t="s">
        <v>531</v>
      </c>
      <c r="O74" s="112" t="s">
        <v>531</v>
      </c>
      <c r="P74" s="112" t="s">
        <v>531</v>
      </c>
      <c r="Q74" s="112" t="s">
        <v>531</v>
      </c>
      <c r="R74" s="112" t="s">
        <v>541</v>
      </c>
      <c r="S74" s="112"/>
      <c r="T74" s="112"/>
      <c r="U74" s="112">
        <f>VLOOKUP(B74,'pkg Technology'!$A$8:$AF$132,30,FALSE)</f>
        <v>594.5616</v>
      </c>
      <c r="V74" s="110"/>
      <c r="W74" s="112">
        <f>VLOOKUP(B74,'pkg Technology'!$A$8:$AF$132,29,FALSE)</f>
        <v>2194.1243999999997</v>
      </c>
      <c r="X74" s="112"/>
      <c r="Y74" s="112">
        <f>ROUND(VLOOKUP(B74,'pkg Technology'!$A$8:$AF$132,31,FALSE),1)</f>
        <v>1.5</v>
      </c>
      <c r="Z74" s="112">
        <f>ROUND(VLOOKUP(B74,'pkg Technology'!$A$8:$AF$132,32,FALSE),0)</f>
        <v>5</v>
      </c>
      <c r="AA74" s="112"/>
      <c r="AB74" s="112" t="s">
        <v>542</v>
      </c>
      <c r="AC74" s="112" t="s">
        <v>543</v>
      </c>
      <c r="AD74" s="112" t="s">
        <v>531</v>
      </c>
      <c r="AE74" s="112">
        <v>0</v>
      </c>
      <c r="AF74" s="114">
        <v>42005</v>
      </c>
      <c r="AG74" s="112"/>
      <c r="AH74" s="112" t="s">
        <v>544</v>
      </c>
      <c r="AI74" s="112" t="s">
        <v>545</v>
      </c>
      <c r="AJ74" s="112" t="str">
        <f>"Total Material cost = "&amp;W74&amp;" + "&amp;U74&amp;" * Number of Units ("&amp;D74&amp;"); Only units between "&amp;Y74&amp;" and "&amp;Z74&amp;" tons can be claimed with this cost reference; Constant and perUnit costs include contractor markup of "&amp;TEXT(VLOOKUP(B74,'pkg Technology'!$A$8:$Z$200,26,FALSE)*100,"00")&amp;"%"</f>
        <v>Total Material cost = 2194.1244 + 594.5616 * Number of Units (Cap-Ton); Only units between 1.5 and 5 tons can be claimed with this cost reference; Constant and perUnit costs include contractor markup of 20%</v>
      </c>
    </row>
    <row r="75" spans="1:36" s="10" customFormat="1">
      <c r="A75" s="112" t="s">
        <v>531</v>
      </c>
      <c r="B75" s="112" t="s">
        <v>367</v>
      </c>
      <c r="C75" s="110" t="s">
        <v>532</v>
      </c>
      <c r="D75" s="112" t="s">
        <v>533</v>
      </c>
      <c r="E75" s="112" t="s">
        <v>534</v>
      </c>
      <c r="F75" s="112" t="s">
        <v>535</v>
      </c>
      <c r="G75" s="112" t="s">
        <v>536</v>
      </c>
      <c r="H75" s="112" t="s">
        <v>116</v>
      </c>
      <c r="I75" s="112" t="s">
        <v>537</v>
      </c>
      <c r="J75" s="112" t="s">
        <v>538</v>
      </c>
      <c r="K75" s="112" t="s">
        <v>539</v>
      </c>
      <c r="L75" s="112" t="s">
        <v>547</v>
      </c>
      <c r="M75" s="112" t="s">
        <v>367</v>
      </c>
      <c r="N75" s="112" t="s">
        <v>531</v>
      </c>
      <c r="O75" s="112" t="s">
        <v>531</v>
      </c>
      <c r="P75" s="112" t="s">
        <v>531</v>
      </c>
      <c r="Q75" s="112" t="s">
        <v>531</v>
      </c>
      <c r="R75" s="112" t="s">
        <v>541</v>
      </c>
      <c r="S75" s="112"/>
      <c r="T75" s="112"/>
      <c r="U75" s="112">
        <f>VLOOKUP(B75,'pkg Technology'!$A$8:$AF$132,30,FALSE)</f>
        <v>594.5616</v>
      </c>
      <c r="V75" s="110"/>
      <c r="W75" s="112">
        <f>VLOOKUP(B75,'pkg Technology'!$A$8:$AF$132,29,FALSE)</f>
        <v>2742.4164000000005</v>
      </c>
      <c r="X75" s="112"/>
      <c r="Y75" s="112">
        <f>ROUND(VLOOKUP(B75,'pkg Technology'!$A$8:$AF$132,31,FALSE),1)</f>
        <v>1.5</v>
      </c>
      <c r="Z75" s="112">
        <f>ROUND(VLOOKUP(B75,'pkg Technology'!$A$8:$AF$132,32,FALSE),0)</f>
        <v>5</v>
      </c>
      <c r="AA75" s="112"/>
      <c r="AB75" s="112" t="s">
        <v>542</v>
      </c>
      <c r="AC75" s="112" t="s">
        <v>543</v>
      </c>
      <c r="AD75" s="112" t="s">
        <v>531</v>
      </c>
      <c r="AE75" s="112">
        <v>0</v>
      </c>
      <c r="AF75" s="114">
        <v>42005</v>
      </c>
      <c r="AG75" s="112"/>
      <c r="AH75" s="112" t="s">
        <v>544</v>
      </c>
      <c r="AI75" s="112" t="s">
        <v>545</v>
      </c>
      <c r="AJ75" s="112" t="str">
        <f>"Total Material cost = "&amp;W75&amp;" + "&amp;U75&amp;" * Number of Units ("&amp;D75&amp;"); Only units between "&amp;Y75&amp;" and "&amp;Z75&amp;" tons can be claimed with this cost reference; Constant and perUnit costs include contractor markup of "&amp;TEXT(VLOOKUP(B75,'pkg Technology'!$A$8:$Z$200,26,FALSE)*100,"00")&amp;"%"</f>
        <v>Total Material cost = 2742.4164 + 594.5616 * Number of Units (Cap-Ton); Only units between 1.5 and 5 tons can be claimed with this cost reference; Constant and perUnit costs include contractor markup of 20%</v>
      </c>
    </row>
    <row r="76" spans="1:36" s="10" customFormat="1">
      <c r="A76" s="112" t="s">
        <v>531</v>
      </c>
      <c r="B76" s="112" t="s">
        <v>377</v>
      </c>
      <c r="C76" s="110" t="s">
        <v>532</v>
      </c>
      <c r="D76" s="112" t="s">
        <v>533</v>
      </c>
      <c r="E76" s="112" t="s">
        <v>534</v>
      </c>
      <c r="F76" s="112" t="s">
        <v>535</v>
      </c>
      <c r="G76" s="112" t="s">
        <v>536</v>
      </c>
      <c r="H76" s="112" t="s">
        <v>302</v>
      </c>
      <c r="I76" s="112" t="s">
        <v>537</v>
      </c>
      <c r="J76" s="112" t="s">
        <v>538</v>
      </c>
      <c r="K76" s="112" t="s">
        <v>539</v>
      </c>
      <c r="L76" s="112" t="s">
        <v>547</v>
      </c>
      <c r="M76" s="112" t="s">
        <v>377</v>
      </c>
      <c r="N76" s="112" t="s">
        <v>531</v>
      </c>
      <c r="O76" s="112" t="s">
        <v>531</v>
      </c>
      <c r="P76" s="112" t="s">
        <v>531</v>
      </c>
      <c r="Q76" s="112" t="s">
        <v>531</v>
      </c>
      <c r="R76" s="112" t="s">
        <v>541</v>
      </c>
      <c r="S76" s="112"/>
      <c r="T76" s="112"/>
      <c r="U76" s="112">
        <f>VLOOKUP(B76,'pkg Technology'!$A$8:$AF$132,30,FALSE)</f>
        <v>594.5616</v>
      </c>
      <c r="V76" s="110"/>
      <c r="W76" s="112">
        <f>VLOOKUP(B76,'pkg Technology'!$A$8:$AF$132,29,FALSE)</f>
        <v>549.2484000000004</v>
      </c>
      <c r="X76" s="112"/>
      <c r="Y76" s="112">
        <f>ROUND(VLOOKUP(B76,'pkg Technology'!$A$8:$AF$132,31,FALSE),1)</f>
        <v>1.5</v>
      </c>
      <c r="Z76" s="112">
        <f>ROUND(VLOOKUP(B76,'pkg Technology'!$A$8:$AF$132,32,FALSE),0)</f>
        <v>5</v>
      </c>
      <c r="AA76" s="112"/>
      <c r="AB76" s="112" t="s">
        <v>542</v>
      </c>
      <c r="AC76" s="112" t="s">
        <v>543</v>
      </c>
      <c r="AD76" s="112" t="s">
        <v>531</v>
      </c>
      <c r="AE76" s="112">
        <v>0</v>
      </c>
      <c r="AF76" s="114">
        <v>42005</v>
      </c>
      <c r="AG76" s="112"/>
      <c r="AH76" s="112" t="s">
        <v>544</v>
      </c>
      <c r="AI76" s="112" t="s">
        <v>545</v>
      </c>
      <c r="AJ76" s="112" t="str">
        <f>"Total Material cost = "&amp;W76&amp;" + "&amp;U76&amp;" * Number of Units ("&amp;D76&amp;"); Only units between "&amp;Y76&amp;" and "&amp;Z76&amp;" tons can be claimed with this cost reference; Constant and perUnit costs include contractor markup of "&amp;TEXT(VLOOKUP(B76,'pkg Technology'!$A$8:$Z$200,26,FALSE)*100,"00")&amp;"%"</f>
        <v>Total Material cost = 549.2484 + 594.5616 * Number of Units (Cap-Ton); Only units between 1.5 and 5 tons can be claimed with this cost reference; Constant and perUnit costs include contractor markup of 20%</v>
      </c>
    </row>
    <row r="77" spans="1:36" s="10" customFormat="1">
      <c r="A77" s="112" t="s">
        <v>531</v>
      </c>
      <c r="B77" s="112" t="s">
        <v>379</v>
      </c>
      <c r="C77" s="110" t="s">
        <v>532</v>
      </c>
      <c r="D77" s="112" t="s">
        <v>533</v>
      </c>
      <c r="E77" s="112" t="s">
        <v>534</v>
      </c>
      <c r="F77" s="112" t="s">
        <v>535</v>
      </c>
      <c r="G77" s="112" t="s">
        <v>536</v>
      </c>
      <c r="H77" s="112" t="s">
        <v>302</v>
      </c>
      <c r="I77" s="112" t="s">
        <v>537</v>
      </c>
      <c r="J77" s="112" t="s">
        <v>538</v>
      </c>
      <c r="K77" s="112" t="s">
        <v>539</v>
      </c>
      <c r="L77" s="112" t="s">
        <v>547</v>
      </c>
      <c r="M77" s="112" t="s">
        <v>379</v>
      </c>
      <c r="N77" s="112" t="s">
        <v>531</v>
      </c>
      <c r="O77" s="112" t="s">
        <v>531</v>
      </c>
      <c r="P77" s="112" t="s">
        <v>531</v>
      </c>
      <c r="Q77" s="112" t="s">
        <v>531</v>
      </c>
      <c r="R77" s="112" t="s">
        <v>541</v>
      </c>
      <c r="S77" s="112"/>
      <c r="T77" s="112"/>
      <c r="U77" s="112">
        <f>VLOOKUP(B77,'pkg Technology'!$A$8:$AF$132,30,FALSE)</f>
        <v>594.5616</v>
      </c>
      <c r="V77" s="110"/>
      <c r="W77" s="112">
        <f>VLOOKUP(B77,'pkg Technology'!$A$8:$AF$132,29,FALSE)</f>
        <v>1097.5404000000001</v>
      </c>
      <c r="X77" s="112"/>
      <c r="Y77" s="112">
        <f>ROUND(VLOOKUP(B77,'pkg Technology'!$A$8:$AF$132,31,FALSE),1)</f>
        <v>1.5</v>
      </c>
      <c r="Z77" s="112">
        <f>ROUND(VLOOKUP(B77,'pkg Technology'!$A$8:$AF$132,32,FALSE),0)</f>
        <v>5</v>
      </c>
      <c r="AA77" s="112"/>
      <c r="AB77" s="112" t="s">
        <v>542</v>
      </c>
      <c r="AC77" s="112" t="s">
        <v>543</v>
      </c>
      <c r="AD77" s="112" t="s">
        <v>531</v>
      </c>
      <c r="AE77" s="112">
        <v>0</v>
      </c>
      <c r="AF77" s="114">
        <v>42005</v>
      </c>
      <c r="AG77" s="112"/>
      <c r="AH77" s="112" t="s">
        <v>544</v>
      </c>
      <c r="AI77" s="112" t="s">
        <v>545</v>
      </c>
      <c r="AJ77" s="112" t="str">
        <f>"Total Material cost = "&amp;W77&amp;" + "&amp;U77&amp;" * Number of Units ("&amp;D77&amp;"); Only units between "&amp;Y77&amp;" and "&amp;Z77&amp;" tons can be claimed with this cost reference; Constant and perUnit costs include contractor markup of "&amp;TEXT(VLOOKUP(B77,'pkg Technology'!$A$8:$Z$200,26,FALSE)*100,"00")&amp;"%"</f>
        <v>Total Material cost = 1097.5404 + 594.5616 * Number of Units (Cap-Ton); Only units between 1.5 and 5 tons can be claimed with this cost reference; Constant and perUnit costs include contractor markup of 20%</v>
      </c>
    </row>
    <row r="78" spans="1:36" s="10" customFormat="1">
      <c r="A78" s="112" t="s">
        <v>531</v>
      </c>
      <c r="B78" s="112" t="s">
        <v>381</v>
      </c>
      <c r="C78" s="110" t="s">
        <v>532</v>
      </c>
      <c r="D78" s="112" t="s">
        <v>533</v>
      </c>
      <c r="E78" s="112" t="s">
        <v>534</v>
      </c>
      <c r="F78" s="112" t="s">
        <v>535</v>
      </c>
      <c r="G78" s="112" t="s">
        <v>536</v>
      </c>
      <c r="H78" s="112" t="s">
        <v>302</v>
      </c>
      <c r="I78" s="112" t="s">
        <v>537</v>
      </c>
      <c r="J78" s="112" t="s">
        <v>538</v>
      </c>
      <c r="K78" s="112" t="s">
        <v>539</v>
      </c>
      <c r="L78" s="112" t="s">
        <v>547</v>
      </c>
      <c r="M78" s="112" t="s">
        <v>381</v>
      </c>
      <c r="N78" s="112" t="s">
        <v>531</v>
      </c>
      <c r="O78" s="112" t="s">
        <v>531</v>
      </c>
      <c r="P78" s="112" t="s">
        <v>531</v>
      </c>
      <c r="Q78" s="112" t="s">
        <v>531</v>
      </c>
      <c r="R78" s="112" t="s">
        <v>541</v>
      </c>
      <c r="S78" s="112"/>
      <c r="T78" s="112"/>
      <c r="U78" s="112">
        <f>VLOOKUP(B78,'pkg Technology'!$A$8:$AF$132,30,FALSE)</f>
        <v>594.5616</v>
      </c>
      <c r="V78" s="110"/>
      <c r="W78" s="112">
        <f>VLOOKUP(B78,'pkg Technology'!$A$8:$AF$132,29,FALSE)</f>
        <v>1645.8324</v>
      </c>
      <c r="X78" s="112"/>
      <c r="Y78" s="112">
        <f>ROUND(VLOOKUP(B78,'pkg Technology'!$A$8:$AF$132,31,FALSE),1)</f>
        <v>1.5</v>
      </c>
      <c r="Z78" s="112">
        <f>ROUND(VLOOKUP(B78,'pkg Technology'!$A$8:$AF$132,32,FALSE),0)</f>
        <v>5</v>
      </c>
      <c r="AA78" s="112"/>
      <c r="AB78" s="112" t="s">
        <v>542</v>
      </c>
      <c r="AC78" s="112" t="s">
        <v>543</v>
      </c>
      <c r="AD78" s="112" t="s">
        <v>531</v>
      </c>
      <c r="AE78" s="112">
        <v>0</v>
      </c>
      <c r="AF78" s="114">
        <v>42005</v>
      </c>
      <c r="AG78" s="112"/>
      <c r="AH78" s="112" t="s">
        <v>544</v>
      </c>
      <c r="AI78" s="112" t="s">
        <v>545</v>
      </c>
      <c r="AJ78" s="112" t="str">
        <f>"Total Material cost = "&amp;W78&amp;" + "&amp;U78&amp;" * Number of Units ("&amp;D78&amp;"); Only units between "&amp;Y78&amp;" and "&amp;Z78&amp;" tons can be claimed with this cost reference; Constant and perUnit costs include contractor markup of "&amp;TEXT(VLOOKUP(B78,'pkg Technology'!$A$8:$Z$200,26,FALSE)*100,"00")&amp;"%"</f>
        <v>Total Material cost = 1645.8324 + 594.5616 * Number of Units (Cap-Ton); Only units between 1.5 and 5 tons can be claimed with this cost reference; Constant and perUnit costs include contractor markup of 20%</v>
      </c>
    </row>
    <row r="79" spans="1:36" s="10" customFormat="1">
      <c r="A79" s="112" t="s">
        <v>531</v>
      </c>
      <c r="B79" s="112" t="s">
        <v>383</v>
      </c>
      <c r="C79" s="110" t="s">
        <v>532</v>
      </c>
      <c r="D79" s="112" t="s">
        <v>533</v>
      </c>
      <c r="E79" s="112" t="s">
        <v>534</v>
      </c>
      <c r="F79" s="112" t="s">
        <v>535</v>
      </c>
      <c r="G79" s="112" t="s">
        <v>536</v>
      </c>
      <c r="H79" s="112" t="s">
        <v>302</v>
      </c>
      <c r="I79" s="112" t="s">
        <v>537</v>
      </c>
      <c r="J79" s="112" t="s">
        <v>538</v>
      </c>
      <c r="K79" s="112" t="s">
        <v>539</v>
      </c>
      <c r="L79" s="112" t="s">
        <v>547</v>
      </c>
      <c r="M79" s="112" t="s">
        <v>383</v>
      </c>
      <c r="N79" s="112" t="s">
        <v>531</v>
      </c>
      <c r="O79" s="112" t="s">
        <v>531</v>
      </c>
      <c r="P79" s="112" t="s">
        <v>531</v>
      </c>
      <c r="Q79" s="112" t="s">
        <v>531</v>
      </c>
      <c r="R79" s="112" t="s">
        <v>541</v>
      </c>
      <c r="S79" s="112"/>
      <c r="T79" s="112"/>
      <c r="U79" s="112">
        <f>VLOOKUP(B79,'pkg Technology'!$A$8:$AF$132,30,FALSE)</f>
        <v>594.5616</v>
      </c>
      <c r="V79" s="110"/>
      <c r="W79" s="112">
        <f>VLOOKUP(B79,'pkg Technology'!$A$8:$AF$132,29,FALSE)</f>
        <v>2194.1243999999997</v>
      </c>
      <c r="X79" s="112"/>
      <c r="Y79" s="112">
        <f>ROUND(VLOOKUP(B79,'pkg Technology'!$A$8:$AF$132,31,FALSE),1)</f>
        <v>1.5</v>
      </c>
      <c r="Z79" s="112">
        <f>ROUND(VLOOKUP(B79,'pkg Technology'!$A$8:$AF$132,32,FALSE),0)</f>
        <v>5</v>
      </c>
      <c r="AA79" s="112"/>
      <c r="AB79" s="112" t="s">
        <v>542</v>
      </c>
      <c r="AC79" s="112" t="s">
        <v>543</v>
      </c>
      <c r="AD79" s="112" t="s">
        <v>531</v>
      </c>
      <c r="AE79" s="112">
        <v>0</v>
      </c>
      <c r="AF79" s="114">
        <v>42005</v>
      </c>
      <c r="AG79" s="112"/>
      <c r="AH79" s="112" t="s">
        <v>544</v>
      </c>
      <c r="AI79" s="112" t="s">
        <v>545</v>
      </c>
      <c r="AJ79" s="112" t="str">
        <f>"Total Material cost = "&amp;W79&amp;" + "&amp;U79&amp;" * Number of Units ("&amp;D79&amp;"); Only units between "&amp;Y79&amp;" and "&amp;Z79&amp;" tons can be claimed with this cost reference; Constant and perUnit costs include contractor markup of "&amp;TEXT(VLOOKUP(B79,'pkg Technology'!$A$8:$Z$200,26,FALSE)*100,"00")&amp;"%"</f>
        <v>Total Material cost = 2194.1244 + 594.5616 * Number of Units (Cap-Ton); Only units between 1.5 and 5 tons can be claimed with this cost reference; Constant and perUnit costs include contractor markup of 20%</v>
      </c>
    </row>
    <row r="80" spans="1:36" s="10" customFormat="1">
      <c r="A80" s="112" t="s">
        <v>531</v>
      </c>
      <c r="B80" s="112" t="s">
        <v>385</v>
      </c>
      <c r="C80" s="110" t="s">
        <v>532</v>
      </c>
      <c r="D80" s="112" t="s">
        <v>533</v>
      </c>
      <c r="E80" s="112" t="s">
        <v>534</v>
      </c>
      <c r="F80" s="112" t="s">
        <v>535</v>
      </c>
      <c r="G80" s="112" t="s">
        <v>536</v>
      </c>
      <c r="H80" s="112" t="s">
        <v>302</v>
      </c>
      <c r="I80" s="112" t="s">
        <v>537</v>
      </c>
      <c r="J80" s="112" t="s">
        <v>538</v>
      </c>
      <c r="K80" s="112" t="s">
        <v>539</v>
      </c>
      <c r="L80" s="112" t="s">
        <v>547</v>
      </c>
      <c r="M80" s="112" t="s">
        <v>385</v>
      </c>
      <c r="N80" s="112" t="s">
        <v>531</v>
      </c>
      <c r="O80" s="112" t="s">
        <v>531</v>
      </c>
      <c r="P80" s="112" t="s">
        <v>531</v>
      </c>
      <c r="Q80" s="112" t="s">
        <v>531</v>
      </c>
      <c r="R80" s="112" t="s">
        <v>541</v>
      </c>
      <c r="S80" s="112"/>
      <c r="T80" s="112"/>
      <c r="U80" s="112">
        <f>VLOOKUP(B80,'pkg Technology'!$A$8:$AF$132,30,FALSE)</f>
        <v>594.5616</v>
      </c>
      <c r="V80" s="110"/>
      <c r="W80" s="112">
        <f>VLOOKUP(B80,'pkg Technology'!$A$8:$AF$132,29,FALSE)</f>
        <v>2742.4164000000005</v>
      </c>
      <c r="X80" s="112"/>
      <c r="Y80" s="112">
        <f>ROUND(VLOOKUP(B80,'pkg Technology'!$A$8:$AF$132,31,FALSE),1)</f>
        <v>1.5</v>
      </c>
      <c r="Z80" s="112">
        <f>ROUND(VLOOKUP(B80,'pkg Technology'!$A$8:$AF$132,32,FALSE),0)</f>
        <v>5</v>
      </c>
      <c r="AA80" s="112"/>
      <c r="AB80" s="112" t="s">
        <v>542</v>
      </c>
      <c r="AC80" s="112" t="s">
        <v>543</v>
      </c>
      <c r="AD80" s="112" t="s">
        <v>531</v>
      </c>
      <c r="AE80" s="112">
        <v>0</v>
      </c>
      <c r="AF80" s="114">
        <v>42005</v>
      </c>
      <c r="AG80" s="112"/>
      <c r="AH80" s="112" t="s">
        <v>544</v>
      </c>
      <c r="AI80" s="112" t="s">
        <v>545</v>
      </c>
      <c r="AJ80" s="112" t="str">
        <f>"Total Material cost = "&amp;W80&amp;" + "&amp;U80&amp;" * Number of Units ("&amp;D80&amp;"); Only units between "&amp;Y80&amp;" and "&amp;Z80&amp;" tons can be claimed with this cost reference; Constant and perUnit costs include contractor markup of "&amp;TEXT(VLOOKUP(B80,'pkg Technology'!$A$8:$Z$200,26,FALSE)*100,"00")&amp;"%"</f>
        <v>Total Material cost = 2742.4164 + 594.5616 * Number of Units (Cap-Ton); Only units between 1.5 and 5 tons can be claimed with this cost reference; Constant and perUnit costs include contractor markup of 20%</v>
      </c>
    </row>
    <row r="81" spans="1:36" s="10" customFormat="1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0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</row>
    <row r="82" spans="1:36" s="10" customFormat="1">
      <c r="A82" s="112" t="s">
        <v>531</v>
      </c>
      <c r="B82" s="112" t="s">
        <v>488</v>
      </c>
      <c r="C82" s="112" t="s">
        <v>548</v>
      </c>
      <c r="D82" s="112" t="s">
        <v>549</v>
      </c>
      <c r="E82" s="112" t="s">
        <v>534</v>
      </c>
      <c r="F82" s="112" t="s">
        <v>535</v>
      </c>
      <c r="G82" s="112" t="s">
        <v>536</v>
      </c>
      <c r="H82" s="112" t="s">
        <v>116</v>
      </c>
      <c r="I82" s="112" t="s">
        <v>537</v>
      </c>
      <c r="J82" s="112" t="s">
        <v>550</v>
      </c>
      <c r="K82" s="112" t="s">
        <v>551</v>
      </c>
      <c r="L82" s="112" t="s">
        <v>552</v>
      </c>
      <c r="M82" s="112"/>
      <c r="N82" s="112" t="s">
        <v>531</v>
      </c>
      <c r="O82" s="112" t="s">
        <v>531</v>
      </c>
      <c r="P82" s="112" t="s">
        <v>531</v>
      </c>
      <c r="Q82" s="112" t="s">
        <v>531</v>
      </c>
      <c r="R82" s="112" t="s">
        <v>541</v>
      </c>
      <c r="S82" s="112"/>
      <c r="T82" s="112"/>
      <c r="U82" s="112">
        <f>VLOOKUP(B82,'boiler Technology'!$B$8:$AD$46,27,FALSE)</f>
        <v>15.97</v>
      </c>
      <c r="V82" s="110"/>
      <c r="W82" s="112">
        <f>VLOOKUP(B82,'boiler Technology'!$B$8:$AD$46,26,FALSE)</f>
        <v>2539</v>
      </c>
      <c r="X82" s="112"/>
      <c r="Y82" s="112">
        <f>ROUND(VLOOKUP(B82,'boiler Technology'!$B$8:$AD$46,28,FALSE),0)</f>
        <v>250</v>
      </c>
      <c r="Z82" s="112">
        <f>ROUND(VLOOKUP(B82,'boiler Technology'!$B$8:$AD$46,29,FALSE),-1)</f>
        <v>3190</v>
      </c>
      <c r="AA82" s="112"/>
      <c r="AB82" s="112" t="s">
        <v>542</v>
      </c>
      <c r="AC82" s="112" t="s">
        <v>543</v>
      </c>
      <c r="AD82" s="112" t="s">
        <v>531</v>
      </c>
      <c r="AE82" s="112">
        <v>0</v>
      </c>
      <c r="AF82" s="114">
        <v>42005</v>
      </c>
      <c r="AG82" s="112"/>
      <c r="AH82" s="112" t="s">
        <v>544</v>
      </c>
      <c r="AI82" s="112" t="s">
        <v>545</v>
      </c>
      <c r="AJ82" s="112" t="str">
        <f>"Total Material cost = "&amp;W82&amp;" + "&amp;U82&amp;" * Number of Units ("&amp;D82&amp;"); Only unts between "&amp;Y82&amp;" and "&amp;Z82&amp;" kBTUh/hr can be claimed with this cost reference; Constant and perUnit costs include contractor markup of "&amp;TEXT(VLOOKUP(B82,'boiler Technology'!$B$8:$X$46,23,FALSE)*100,"00")&amp;"%"</f>
        <v>Total Material cost = 2539 + 15.97 * Number of Units (Cap-kBTUh); Only unts between 250 and 3190 kBTUh/hr can be claimed with this cost reference; Constant and perUnit costs include contractor markup of 20%</v>
      </c>
    </row>
    <row r="83" spans="1:36" s="10" customFormat="1">
      <c r="A83" s="112" t="s">
        <v>531</v>
      </c>
      <c r="B83" s="112" t="s">
        <v>490</v>
      </c>
      <c r="C83" s="112" t="s">
        <v>553</v>
      </c>
      <c r="D83" s="112" t="s">
        <v>549</v>
      </c>
      <c r="E83" s="112" t="s">
        <v>534</v>
      </c>
      <c r="F83" s="112" t="s">
        <v>535</v>
      </c>
      <c r="G83" s="112" t="s">
        <v>536</v>
      </c>
      <c r="H83" s="112" t="s">
        <v>116</v>
      </c>
      <c r="I83" s="112" t="s">
        <v>537</v>
      </c>
      <c r="J83" s="112" t="s">
        <v>550</v>
      </c>
      <c r="K83" s="112" t="s">
        <v>551</v>
      </c>
      <c r="L83" s="112" t="s">
        <v>552</v>
      </c>
      <c r="M83" s="112"/>
      <c r="N83" s="112" t="s">
        <v>531</v>
      </c>
      <c r="O83" s="112" t="s">
        <v>531</v>
      </c>
      <c r="P83" s="112" t="s">
        <v>531</v>
      </c>
      <c r="Q83" s="112" t="s">
        <v>531</v>
      </c>
      <c r="R83" s="112" t="s">
        <v>541</v>
      </c>
      <c r="S83" s="112"/>
      <c r="T83" s="112"/>
      <c r="U83" s="112">
        <f>VLOOKUP(B83,'boiler Technology'!$B$8:$AD$46,27,FALSE)</f>
        <v>15.97</v>
      </c>
      <c r="V83" s="110"/>
      <c r="W83" s="112">
        <f>VLOOKUP(B83,'boiler Technology'!$B$8:$AD$46,26,FALSE)</f>
        <v>7544</v>
      </c>
      <c r="X83" s="112"/>
      <c r="Y83" s="112">
        <f>ROUND(VLOOKUP(B83,'boiler Technology'!$B$8:$AD$46,28,FALSE),0)</f>
        <v>250</v>
      </c>
      <c r="Z83" s="112">
        <f>ROUND(VLOOKUP(B83,'boiler Technology'!$B$8:$AD$46,29,FALSE),-1)</f>
        <v>3190</v>
      </c>
      <c r="AA83" s="112"/>
      <c r="AB83" s="112" t="s">
        <v>542</v>
      </c>
      <c r="AC83" s="112" t="s">
        <v>543</v>
      </c>
      <c r="AD83" s="112" t="s">
        <v>531</v>
      </c>
      <c r="AE83" s="112">
        <v>0</v>
      </c>
      <c r="AF83" s="114">
        <v>42005</v>
      </c>
      <c r="AG83" s="112"/>
      <c r="AH83" s="112" t="s">
        <v>544</v>
      </c>
      <c r="AI83" s="112" t="s">
        <v>545</v>
      </c>
      <c r="AJ83" s="112" t="str">
        <f>"Total Material cost = "&amp;W83&amp;" + "&amp;U83&amp;" * Number of Units ("&amp;D83&amp;"); Only unts between "&amp;Y83&amp;" and "&amp;Z83&amp;" kBTUh/hr can be claimed with this cost reference; Constant and perUnit costs include contractor markup of "&amp;TEXT(VLOOKUP(B83,'boiler Technology'!$B$8:$X$46,23,FALSE)*100,"00")&amp;"%"</f>
        <v>Total Material cost = 7544 + 15.97 * Number of Units (Cap-kBTUh); Only unts between 250 and 3190 kBTUh/hr can be claimed with this cost reference; Constant and perUnit costs include contractor markup of 20%</v>
      </c>
    </row>
    <row r="84" spans="1:36" s="10" customFormat="1">
      <c r="A84" s="112" t="s">
        <v>531</v>
      </c>
      <c r="B84" s="112" t="s">
        <v>494</v>
      </c>
      <c r="C84" s="112" t="s">
        <v>554</v>
      </c>
      <c r="D84" s="112" t="s">
        <v>549</v>
      </c>
      <c r="E84" s="112" t="s">
        <v>534</v>
      </c>
      <c r="F84" s="112" t="s">
        <v>535</v>
      </c>
      <c r="G84" s="112" t="s">
        <v>536</v>
      </c>
      <c r="H84" s="112" t="s">
        <v>116</v>
      </c>
      <c r="I84" s="112" t="s">
        <v>537</v>
      </c>
      <c r="J84" s="112" t="s">
        <v>550</v>
      </c>
      <c r="K84" s="112" t="s">
        <v>551</v>
      </c>
      <c r="L84" s="112" t="s">
        <v>552</v>
      </c>
      <c r="M84" s="112"/>
      <c r="N84" s="112" t="s">
        <v>531</v>
      </c>
      <c r="O84" s="112" t="s">
        <v>531</v>
      </c>
      <c r="P84" s="112" t="s">
        <v>531</v>
      </c>
      <c r="Q84" s="112" t="s">
        <v>531</v>
      </c>
      <c r="R84" s="112" t="s">
        <v>541</v>
      </c>
      <c r="S84" s="112"/>
      <c r="T84" s="112"/>
      <c r="U84" s="112">
        <f>VLOOKUP(B84,'boiler Technology'!$B$8:$AD$46,27,FALSE)</f>
        <v>15.97</v>
      </c>
      <c r="V84" s="110"/>
      <c r="W84" s="112">
        <f>VLOOKUP(B84,'boiler Technology'!$B$8:$AD$46,26,FALSE)</f>
        <v>2539</v>
      </c>
      <c r="X84" s="112"/>
      <c r="Y84" s="112">
        <f>ROUND(VLOOKUP(B84,'boiler Technology'!$B$8:$AD$46,28,FALSE),0)</f>
        <v>250</v>
      </c>
      <c r="Z84" s="112">
        <f>ROUND(VLOOKUP(B84,'boiler Technology'!$B$8:$AD$46,29,FALSE),-1)</f>
        <v>3190</v>
      </c>
      <c r="AA84" s="112"/>
      <c r="AB84" s="112" t="s">
        <v>542</v>
      </c>
      <c r="AC84" s="112" t="s">
        <v>543</v>
      </c>
      <c r="AD84" s="112" t="s">
        <v>531</v>
      </c>
      <c r="AE84" s="112">
        <v>0</v>
      </c>
      <c r="AF84" s="114">
        <v>42005</v>
      </c>
      <c r="AG84" s="112"/>
      <c r="AH84" s="112" t="s">
        <v>544</v>
      </c>
      <c r="AI84" s="112" t="s">
        <v>545</v>
      </c>
      <c r="AJ84" s="112" t="str">
        <f>"Total Material cost = "&amp;W84&amp;" + "&amp;U84&amp;" * Number of Units ("&amp;D84&amp;"); Only unts between "&amp;Y84&amp;" and "&amp;Z84&amp;" kBTUh/hr can be claimed with this cost reference; Constant and perUnit costs include contractor markup of "&amp;TEXT(VLOOKUP(B84,'boiler Technology'!$B$8:$X$46,23,FALSE)*100,"00")&amp;"%"</f>
        <v>Total Material cost = 2539 + 15.97 * Number of Units (Cap-kBTUh); Only unts between 250 and 3190 kBTUh/hr can be claimed with this cost reference; Constant and perUnit costs include contractor markup of 20%</v>
      </c>
    </row>
    <row r="85" spans="1:36" s="10" customFormat="1">
      <c r="A85" s="112" t="s">
        <v>531</v>
      </c>
      <c r="B85" s="112" t="s">
        <v>496</v>
      </c>
      <c r="C85" s="112" t="s">
        <v>555</v>
      </c>
      <c r="D85" s="112" t="s">
        <v>549</v>
      </c>
      <c r="E85" s="112" t="s">
        <v>534</v>
      </c>
      <c r="F85" s="112" t="s">
        <v>535</v>
      </c>
      <c r="G85" s="112" t="s">
        <v>536</v>
      </c>
      <c r="H85" s="112" t="s">
        <v>116</v>
      </c>
      <c r="I85" s="112" t="s">
        <v>537</v>
      </c>
      <c r="J85" s="112" t="s">
        <v>550</v>
      </c>
      <c r="K85" s="112" t="s">
        <v>551</v>
      </c>
      <c r="L85" s="112" t="s">
        <v>552</v>
      </c>
      <c r="M85" s="112"/>
      <c r="N85" s="112" t="s">
        <v>531</v>
      </c>
      <c r="O85" s="112" t="s">
        <v>531</v>
      </c>
      <c r="P85" s="112" t="s">
        <v>531</v>
      </c>
      <c r="Q85" s="112" t="s">
        <v>531</v>
      </c>
      <c r="R85" s="112" t="s">
        <v>541</v>
      </c>
      <c r="S85" s="112"/>
      <c r="T85" s="112"/>
      <c r="U85" s="112">
        <f>VLOOKUP(B85,'boiler Technology'!$B$8:$AD$46,27,FALSE)</f>
        <v>15.97</v>
      </c>
      <c r="V85" s="110"/>
      <c r="W85" s="112">
        <f>VLOOKUP(B85,'boiler Technology'!$B$8:$AD$46,26,FALSE)</f>
        <v>7544</v>
      </c>
      <c r="X85" s="112"/>
      <c r="Y85" s="112">
        <f>ROUND(VLOOKUP(B85,'boiler Technology'!$B$8:$AD$46,28,FALSE),0)</f>
        <v>250</v>
      </c>
      <c r="Z85" s="112">
        <f>ROUND(VLOOKUP(B85,'boiler Technology'!$B$8:$AD$46,29,FALSE),-1)</f>
        <v>3190</v>
      </c>
      <c r="AA85" s="112"/>
      <c r="AB85" s="112" t="s">
        <v>542</v>
      </c>
      <c r="AC85" s="112" t="s">
        <v>543</v>
      </c>
      <c r="AD85" s="112" t="s">
        <v>531</v>
      </c>
      <c r="AE85" s="112">
        <v>0</v>
      </c>
      <c r="AF85" s="114">
        <v>42005</v>
      </c>
      <c r="AG85" s="112"/>
      <c r="AH85" s="112" t="s">
        <v>544</v>
      </c>
      <c r="AI85" s="112" t="s">
        <v>545</v>
      </c>
      <c r="AJ85" s="112" t="str">
        <f>"Total Material cost = "&amp;W85&amp;" + "&amp;U85&amp;" * Number of Units ("&amp;D85&amp;"); Only unts between "&amp;Y85&amp;" and "&amp;Z85&amp;" kBTUh/hr can be claimed with this cost reference; Constant and perUnit costs include contractor markup of "&amp;TEXT(VLOOKUP(B85,'boiler Technology'!$B$8:$X$46,23,FALSE)*100,"00")&amp;"%"</f>
        <v>Total Material cost = 7544 + 15.97 * Number of Units (Cap-kBTUh); Only unts between 250 and 3190 kBTUh/hr can be claimed with this cost reference; Constant and perUnit costs include contractor markup of 20%</v>
      </c>
    </row>
    <row r="86" spans="1:36" s="10" customFormat="1">
      <c r="A86" s="112" t="s">
        <v>531</v>
      </c>
      <c r="B86" s="112" t="s">
        <v>492</v>
      </c>
      <c r="C86" s="112" t="s">
        <v>556</v>
      </c>
      <c r="D86" s="112" t="s">
        <v>549</v>
      </c>
      <c r="E86" s="112" t="s">
        <v>534</v>
      </c>
      <c r="F86" s="112" t="s">
        <v>535</v>
      </c>
      <c r="G86" s="112" t="s">
        <v>536</v>
      </c>
      <c r="H86" s="112" t="s">
        <v>116</v>
      </c>
      <c r="I86" s="112" t="s">
        <v>537</v>
      </c>
      <c r="J86" s="112" t="s">
        <v>550</v>
      </c>
      <c r="K86" s="112" t="s">
        <v>551</v>
      </c>
      <c r="L86" s="112" t="s">
        <v>552</v>
      </c>
      <c r="M86" s="112"/>
      <c r="N86" s="112" t="s">
        <v>531</v>
      </c>
      <c r="O86" s="112" t="s">
        <v>531</v>
      </c>
      <c r="P86" s="112" t="s">
        <v>531</v>
      </c>
      <c r="Q86" s="112" t="s">
        <v>531</v>
      </c>
      <c r="R86" s="112" t="s">
        <v>541</v>
      </c>
      <c r="S86" s="112"/>
      <c r="T86" s="112"/>
      <c r="U86" s="112">
        <f>VLOOKUP(B86,'boiler Technology'!$B$8:$AD$46,27,FALSE)</f>
        <v>15.97</v>
      </c>
      <c r="V86" s="110"/>
      <c r="W86" s="112">
        <f>VLOOKUP(B86,'boiler Technology'!$B$8:$AD$46,26,FALSE)</f>
        <v>-2466</v>
      </c>
      <c r="X86" s="112"/>
      <c r="Y86" s="112">
        <f>ROUND(VLOOKUP(B86,'boiler Technology'!$B$8:$AD$46,28,FALSE),0)</f>
        <v>250</v>
      </c>
      <c r="Z86" s="112">
        <f>ROUND(VLOOKUP(B86,'boiler Technology'!$B$8:$AD$46,29,FALSE),-1)</f>
        <v>3190</v>
      </c>
      <c r="AA86" s="112"/>
      <c r="AB86" s="112" t="s">
        <v>542</v>
      </c>
      <c r="AC86" s="112" t="s">
        <v>543</v>
      </c>
      <c r="AD86" s="112" t="s">
        <v>531</v>
      </c>
      <c r="AE86" s="112">
        <v>0</v>
      </c>
      <c r="AF86" s="114">
        <v>42005</v>
      </c>
      <c r="AG86" s="112"/>
      <c r="AH86" s="112" t="s">
        <v>544</v>
      </c>
      <c r="AI86" s="112" t="s">
        <v>545</v>
      </c>
      <c r="AJ86" s="112" t="str">
        <f>"Total Material cost = "&amp;W86&amp;" + "&amp;U86&amp;" * Number of Units ("&amp;D86&amp;"); Only unts between "&amp;Y86&amp;" and "&amp;Z86&amp;" kBTUh/hr can be claimed with this cost reference; Constant and perUnit costs include contractor markup of "&amp;TEXT(VLOOKUP(B86,'boiler Technology'!$B$8:$X$46,23,FALSE)*100,"00")&amp;"%"</f>
        <v>Total Material cost = -2466 + 15.97 * Number of Units (Cap-kBTUh); Only unts between 250 and 3190 kBTUh/hr can be claimed with this cost reference; Constant and perUnit costs include contractor markup of 20%</v>
      </c>
    </row>
    <row r="87" spans="1:36" s="10" customFormat="1">
      <c r="A87" s="112" t="s">
        <v>531</v>
      </c>
      <c r="B87" s="112" t="s">
        <v>427</v>
      </c>
      <c r="C87" s="112" t="s">
        <v>557</v>
      </c>
      <c r="D87" s="112" t="s">
        <v>549</v>
      </c>
      <c r="E87" s="112" t="s">
        <v>534</v>
      </c>
      <c r="F87" s="112" t="s">
        <v>535</v>
      </c>
      <c r="G87" s="112" t="s">
        <v>536</v>
      </c>
      <c r="H87" s="112" t="s">
        <v>116</v>
      </c>
      <c r="I87" s="112" t="s">
        <v>537</v>
      </c>
      <c r="J87" s="112" t="s">
        <v>550</v>
      </c>
      <c r="K87" s="112" t="s">
        <v>558</v>
      </c>
      <c r="L87" s="112" t="s">
        <v>559</v>
      </c>
      <c r="M87" s="112"/>
      <c r="N87" s="112" t="s">
        <v>531</v>
      </c>
      <c r="O87" s="112" t="s">
        <v>531</v>
      </c>
      <c r="P87" s="112" t="s">
        <v>531</v>
      </c>
      <c r="Q87" s="112" t="s">
        <v>531</v>
      </c>
      <c r="R87" s="112" t="s">
        <v>541</v>
      </c>
      <c r="S87" s="112"/>
      <c r="T87" s="112"/>
      <c r="U87" s="112">
        <f>VLOOKUP(B87,'boiler Technology'!$B$8:$AD$46,27,FALSE)</f>
        <v>17.61</v>
      </c>
      <c r="V87" s="110"/>
      <c r="W87" s="112">
        <f>VLOOKUP(B87,'boiler Technology'!$B$8:$AD$46,26,FALSE)</f>
        <v>1784</v>
      </c>
      <c r="X87" s="112"/>
      <c r="Y87" s="112">
        <f>ROUND(VLOOKUP(B87,'boiler Technology'!$B$8:$AD$46,28,FALSE),0)</f>
        <v>90</v>
      </c>
      <c r="Z87" s="112">
        <f>ROUND(VLOOKUP(B87,'boiler Technology'!$B$8:$AD$46,29,FALSE),-1)</f>
        <v>240</v>
      </c>
      <c r="AA87" s="112"/>
      <c r="AB87" s="112" t="s">
        <v>542</v>
      </c>
      <c r="AC87" s="112" t="s">
        <v>543</v>
      </c>
      <c r="AD87" s="112" t="s">
        <v>531</v>
      </c>
      <c r="AE87" s="112">
        <v>0</v>
      </c>
      <c r="AF87" s="114">
        <v>42005</v>
      </c>
      <c r="AG87" s="112"/>
      <c r="AH87" s="112" t="s">
        <v>544</v>
      </c>
      <c r="AI87" s="112" t="s">
        <v>545</v>
      </c>
      <c r="AJ87" s="112" t="str">
        <f>"Total Material cost = "&amp;W87&amp;" + "&amp;U87&amp;" * Number of Units ("&amp;D87&amp;"); Only unts between "&amp;Y87&amp;" and "&amp;Z87&amp;" kBTUh/hr can be claimed with this cost reference; Constant and perUnit costs include contractor markup of "&amp;TEXT(VLOOKUP(B87,'boiler Technology'!$B$8:$X$46,23,FALSE)*100,"00")&amp;"%"</f>
        <v>Total Material cost = 1784 + 17.61 * Number of Units (Cap-kBTUh); Only unts between 90 and 240 kBTUh/hr can be claimed with this cost reference; Constant and perUnit costs include contractor markup of 30%</v>
      </c>
    </row>
    <row r="88" spans="1:36" s="10" customFormat="1">
      <c r="A88" s="112" t="s">
        <v>531</v>
      </c>
      <c r="B88" s="112" t="s">
        <v>424</v>
      </c>
      <c r="C88" s="112" t="s">
        <v>560</v>
      </c>
      <c r="D88" s="112" t="s">
        <v>549</v>
      </c>
      <c r="E88" s="112" t="s">
        <v>534</v>
      </c>
      <c r="F88" s="112" t="s">
        <v>535</v>
      </c>
      <c r="G88" s="112" t="s">
        <v>536</v>
      </c>
      <c r="H88" s="112" t="s">
        <v>116</v>
      </c>
      <c r="I88" s="112" t="s">
        <v>537</v>
      </c>
      <c r="J88" s="112" t="s">
        <v>550</v>
      </c>
      <c r="K88" s="112" t="s">
        <v>558</v>
      </c>
      <c r="L88" s="112" t="s">
        <v>559</v>
      </c>
      <c r="M88" s="112"/>
      <c r="N88" s="112" t="s">
        <v>531</v>
      </c>
      <c r="O88" s="112" t="s">
        <v>531</v>
      </c>
      <c r="P88" s="112" t="s">
        <v>531</v>
      </c>
      <c r="Q88" s="112" t="s">
        <v>531</v>
      </c>
      <c r="R88" s="112" t="s">
        <v>541</v>
      </c>
      <c r="S88" s="112"/>
      <c r="T88" s="112"/>
      <c r="U88" s="112">
        <f>VLOOKUP(B88,'boiler Technology'!$B$8:$AD$46,27,FALSE)</f>
        <v>17.61</v>
      </c>
      <c r="V88" s="110"/>
      <c r="W88" s="112">
        <f>VLOOKUP(B88,'boiler Technology'!$B$8:$AD$46,26,FALSE)</f>
        <v>1061</v>
      </c>
      <c r="X88" s="112"/>
      <c r="Y88" s="112">
        <f>ROUND(VLOOKUP(B88,'boiler Technology'!$B$8:$AD$46,28,FALSE),0)</f>
        <v>90</v>
      </c>
      <c r="Z88" s="112">
        <f>ROUND(VLOOKUP(B88,'boiler Technology'!$B$8:$AD$46,29,FALSE),-1)</f>
        <v>240</v>
      </c>
      <c r="AA88" s="112"/>
      <c r="AB88" s="112" t="s">
        <v>542</v>
      </c>
      <c r="AC88" s="112" t="s">
        <v>543</v>
      </c>
      <c r="AD88" s="112" t="s">
        <v>531</v>
      </c>
      <c r="AE88" s="112">
        <v>0</v>
      </c>
      <c r="AF88" s="114">
        <v>42005</v>
      </c>
      <c r="AG88" s="112"/>
      <c r="AH88" s="112" t="s">
        <v>544</v>
      </c>
      <c r="AI88" s="112" t="s">
        <v>545</v>
      </c>
      <c r="AJ88" s="112" t="str">
        <f>"Total Material cost = "&amp;W88&amp;" + "&amp;U88&amp;" * Number of Units ("&amp;D88&amp;"); Only unts between "&amp;Y88&amp;" and "&amp;Z88&amp;" kBTUh/hr can be claimed with this cost reference; Constant and perUnit costs include contractor markup of "&amp;TEXT(VLOOKUP(B88,'boiler Technology'!$B$8:$X$46,23,FALSE)*100,"00")&amp;"%"</f>
        <v>Total Material cost = 1061 + 17.61 * Number of Units (Cap-kBTUh); Only unts between 90 and 240 kBTUh/hr can be claimed with this cost reference; Constant and perUnit costs include contractor markup of 30%</v>
      </c>
    </row>
    <row r="89" spans="1:36" s="10" customFormat="1">
      <c r="A89" s="112" t="s">
        <v>531</v>
      </c>
      <c r="B89" s="112" t="s">
        <v>429</v>
      </c>
      <c r="C89" s="112" t="s">
        <v>561</v>
      </c>
      <c r="D89" s="112" t="s">
        <v>549</v>
      </c>
      <c r="E89" s="112" t="s">
        <v>534</v>
      </c>
      <c r="F89" s="112" t="s">
        <v>535</v>
      </c>
      <c r="G89" s="112" t="s">
        <v>536</v>
      </c>
      <c r="H89" s="112" t="s">
        <v>116</v>
      </c>
      <c r="I89" s="112" t="s">
        <v>537</v>
      </c>
      <c r="J89" s="112" t="s">
        <v>550</v>
      </c>
      <c r="K89" s="112" t="s">
        <v>558</v>
      </c>
      <c r="L89" s="112" t="s">
        <v>559</v>
      </c>
      <c r="M89" s="112"/>
      <c r="N89" s="112" t="s">
        <v>531</v>
      </c>
      <c r="O89" s="112" t="s">
        <v>531</v>
      </c>
      <c r="P89" s="112" t="s">
        <v>531</v>
      </c>
      <c r="Q89" s="112" t="s">
        <v>531</v>
      </c>
      <c r="R89" s="112" t="s">
        <v>541</v>
      </c>
      <c r="S89" s="112"/>
      <c r="T89" s="112"/>
      <c r="U89" s="112">
        <f>VLOOKUP(B89,'boiler Technology'!$B$8:$AD$46,27,FALSE)</f>
        <v>17.61</v>
      </c>
      <c r="V89" s="110"/>
      <c r="W89" s="112">
        <f>VLOOKUP(B89,'boiler Technology'!$B$8:$AD$46,26,FALSE)</f>
        <v>2506</v>
      </c>
      <c r="X89" s="112"/>
      <c r="Y89" s="112">
        <f>ROUND(VLOOKUP(B89,'boiler Technology'!$B$8:$AD$46,28,FALSE),0)</f>
        <v>90</v>
      </c>
      <c r="Z89" s="112">
        <f>ROUND(VLOOKUP(B89,'boiler Technology'!$B$8:$AD$46,29,FALSE),-1)</f>
        <v>240</v>
      </c>
      <c r="AA89" s="112"/>
      <c r="AB89" s="112" t="s">
        <v>542</v>
      </c>
      <c r="AC89" s="112" t="s">
        <v>543</v>
      </c>
      <c r="AD89" s="112" t="s">
        <v>531</v>
      </c>
      <c r="AE89" s="112">
        <v>0</v>
      </c>
      <c r="AF89" s="114">
        <v>42005</v>
      </c>
      <c r="AG89" s="112"/>
      <c r="AH89" s="112" t="s">
        <v>544</v>
      </c>
      <c r="AI89" s="112" t="s">
        <v>545</v>
      </c>
      <c r="AJ89" s="112" t="str">
        <f>"Total Material cost = "&amp;W89&amp;" + "&amp;U89&amp;" * Number of Units ("&amp;D89&amp;"); Only unts between "&amp;Y89&amp;" and "&amp;Z89&amp;" kBTUh/hr can be claimed with this cost reference; Constant and perUnit costs include contractor markup of "&amp;TEXT(VLOOKUP(B89,'boiler Technology'!$B$8:$X$46,23,FALSE)*100,"00")&amp;"%"</f>
        <v>Total Material cost = 2506 + 17.61 * Number of Units (Cap-kBTUh); Only unts between 90 and 240 kBTUh/hr can be claimed with this cost reference; Constant and perUnit costs include contractor markup of 30%</v>
      </c>
    </row>
    <row r="90" spans="1:36" s="10" customFormat="1">
      <c r="A90" s="112" t="s">
        <v>531</v>
      </c>
      <c r="B90" s="112" t="s">
        <v>448</v>
      </c>
      <c r="C90" s="112" t="s">
        <v>562</v>
      </c>
      <c r="D90" s="112" t="s">
        <v>549</v>
      </c>
      <c r="E90" s="112" t="s">
        <v>534</v>
      </c>
      <c r="F90" s="112" t="s">
        <v>535</v>
      </c>
      <c r="G90" s="112" t="s">
        <v>536</v>
      </c>
      <c r="H90" s="112" t="s">
        <v>116</v>
      </c>
      <c r="I90" s="112" t="s">
        <v>537</v>
      </c>
      <c r="J90" s="112" t="s">
        <v>550</v>
      </c>
      <c r="K90" s="112" t="s">
        <v>558</v>
      </c>
      <c r="L90" s="112" t="s">
        <v>552</v>
      </c>
      <c r="M90" s="112"/>
      <c r="N90" s="112" t="s">
        <v>531</v>
      </c>
      <c r="O90" s="112" t="s">
        <v>531</v>
      </c>
      <c r="P90" s="112" t="s">
        <v>531</v>
      </c>
      <c r="Q90" s="112" t="s">
        <v>531</v>
      </c>
      <c r="R90" s="112" t="s">
        <v>541</v>
      </c>
      <c r="S90" s="112"/>
      <c r="T90" s="112"/>
      <c r="U90" s="112">
        <f>VLOOKUP(B90,'boiler Technology'!$B$8:$AD$46,27,FALSE)</f>
        <v>17.600000000000001</v>
      </c>
      <c r="V90" s="110"/>
      <c r="W90" s="112">
        <f>VLOOKUP(B90,'boiler Technology'!$B$8:$AD$46,26,FALSE)</f>
        <v>-422</v>
      </c>
      <c r="X90" s="112"/>
      <c r="Y90" s="112">
        <f>ROUND(VLOOKUP(B90,'boiler Technology'!$B$8:$AD$46,28,FALSE),0)</f>
        <v>300</v>
      </c>
      <c r="Z90" s="112">
        <f>ROUND(VLOOKUP(B90,'boiler Technology'!$B$8:$AD$46,29,FALSE),-1)</f>
        <v>4000</v>
      </c>
      <c r="AA90" s="112"/>
      <c r="AB90" s="112" t="s">
        <v>542</v>
      </c>
      <c r="AC90" s="112" t="s">
        <v>543</v>
      </c>
      <c r="AD90" s="112" t="s">
        <v>531</v>
      </c>
      <c r="AE90" s="112">
        <v>0</v>
      </c>
      <c r="AF90" s="114">
        <v>42005</v>
      </c>
      <c r="AG90" s="112"/>
      <c r="AH90" s="112" t="s">
        <v>544</v>
      </c>
      <c r="AI90" s="112" t="s">
        <v>545</v>
      </c>
      <c r="AJ90" s="112" t="str">
        <f>"Total Material cost = "&amp;W90&amp;" + "&amp;U90&amp;" * Number of Units ("&amp;D90&amp;"); Only unts between "&amp;Y90&amp;" and "&amp;Z90&amp;" kBTUh/hr can be claimed with this cost reference; Constant and perUnit costs include contractor markup of "&amp;TEXT(VLOOKUP(B90,'boiler Technology'!$B$8:$X$46,23,FALSE)*100,"00")&amp;"%"</f>
        <v>Total Material cost = -422 + 17.6 * Number of Units (Cap-kBTUh); Only unts between 300 and 4000 kBTUh/hr can be claimed with this cost reference; Constant and perUnit costs include contractor markup of 30%</v>
      </c>
    </row>
    <row r="91" spans="1:36" s="10" customFormat="1">
      <c r="A91" s="112" t="s">
        <v>531</v>
      </c>
      <c r="B91" s="112" t="s">
        <v>450</v>
      </c>
      <c r="C91" s="112" t="s">
        <v>563</v>
      </c>
      <c r="D91" s="112" t="s">
        <v>549</v>
      </c>
      <c r="E91" s="112" t="s">
        <v>534</v>
      </c>
      <c r="F91" s="112" t="s">
        <v>535</v>
      </c>
      <c r="G91" s="112" t="s">
        <v>536</v>
      </c>
      <c r="H91" s="112" t="s">
        <v>116</v>
      </c>
      <c r="I91" s="112" t="s">
        <v>537</v>
      </c>
      <c r="J91" s="112" t="s">
        <v>550</v>
      </c>
      <c r="K91" s="112" t="s">
        <v>558</v>
      </c>
      <c r="L91" s="112" t="s">
        <v>552</v>
      </c>
      <c r="M91" s="112"/>
      <c r="N91" s="112" t="s">
        <v>531</v>
      </c>
      <c r="O91" s="112" t="s">
        <v>531</v>
      </c>
      <c r="P91" s="112" t="s">
        <v>531</v>
      </c>
      <c r="Q91" s="112" t="s">
        <v>531</v>
      </c>
      <c r="R91" s="112" t="s">
        <v>541</v>
      </c>
      <c r="S91" s="112"/>
      <c r="T91" s="112"/>
      <c r="U91" s="112">
        <f>VLOOKUP(B91,'boiler Technology'!$B$8:$AD$46,27,FALSE)</f>
        <v>17.600000000000001</v>
      </c>
      <c r="V91" s="110"/>
      <c r="W91" s="112">
        <f>VLOOKUP(B91,'boiler Technology'!$B$8:$AD$46,26,FALSE)</f>
        <v>12721</v>
      </c>
      <c r="X91" s="112"/>
      <c r="Y91" s="112">
        <f>ROUND(VLOOKUP(B91,'boiler Technology'!$B$8:$AD$46,28,FALSE),0)</f>
        <v>300</v>
      </c>
      <c r="Z91" s="112">
        <f>ROUND(VLOOKUP(B91,'boiler Technology'!$B$8:$AD$46,29,FALSE),-1)</f>
        <v>4000</v>
      </c>
      <c r="AA91" s="112"/>
      <c r="AB91" s="112" t="s">
        <v>542</v>
      </c>
      <c r="AC91" s="112" t="s">
        <v>543</v>
      </c>
      <c r="AD91" s="112" t="s">
        <v>531</v>
      </c>
      <c r="AE91" s="112">
        <v>0</v>
      </c>
      <c r="AF91" s="114">
        <v>42005</v>
      </c>
      <c r="AG91" s="112"/>
      <c r="AH91" s="112" t="s">
        <v>544</v>
      </c>
      <c r="AI91" s="112" t="s">
        <v>545</v>
      </c>
      <c r="AJ91" s="112" t="str">
        <f>"Total Material cost = "&amp;W91&amp;" + "&amp;U91&amp;" * Number of Units ("&amp;D91&amp;"); Only unts between "&amp;Y91&amp;" and "&amp;Z91&amp;" kBTUh/hr can be claimed with this cost reference; Constant and perUnit costs include contractor markup of "&amp;TEXT(VLOOKUP(B91,'boiler Technology'!$B$8:$X$46,23,FALSE)*100,"00")&amp;"%"</f>
        <v>Total Material cost = 12721 + 17.6 * Number of Units (Cap-kBTUh); Only unts between 300 and 4000 kBTUh/hr can be claimed with this cost reference; Constant and perUnit costs include contractor markup of 30%</v>
      </c>
    </row>
    <row r="92" spans="1:36" s="10" customFormat="1">
      <c r="A92" s="112" t="s">
        <v>531</v>
      </c>
      <c r="B92" s="112" t="s">
        <v>460</v>
      </c>
      <c r="C92" s="112" t="s">
        <v>564</v>
      </c>
      <c r="D92" s="112" t="s">
        <v>549</v>
      </c>
      <c r="E92" s="112" t="s">
        <v>534</v>
      </c>
      <c r="F92" s="112" t="s">
        <v>535</v>
      </c>
      <c r="G92" s="112" t="s">
        <v>536</v>
      </c>
      <c r="H92" s="112" t="s">
        <v>116</v>
      </c>
      <c r="I92" s="112" t="s">
        <v>537</v>
      </c>
      <c r="J92" s="112" t="s">
        <v>550</v>
      </c>
      <c r="K92" s="112" t="s">
        <v>558</v>
      </c>
      <c r="L92" s="112" t="s">
        <v>552</v>
      </c>
      <c r="M92" s="112"/>
      <c r="N92" s="112" t="s">
        <v>531</v>
      </c>
      <c r="O92" s="112" t="s">
        <v>531</v>
      </c>
      <c r="P92" s="112" t="s">
        <v>531</v>
      </c>
      <c r="Q92" s="112" t="s">
        <v>531</v>
      </c>
      <c r="R92" s="112" t="s">
        <v>541</v>
      </c>
      <c r="S92" s="112"/>
      <c r="T92" s="112"/>
      <c r="U92" s="112">
        <f>VLOOKUP(B92,'boiler Technology'!$B$8:$AD$46,27,FALSE)</f>
        <v>12.83</v>
      </c>
      <c r="V92" s="110"/>
      <c r="W92" s="112">
        <f>VLOOKUP(B92,'boiler Technology'!$B$8:$AD$46,26,FALSE)</f>
        <v>6869</v>
      </c>
      <c r="X92" s="112"/>
      <c r="Y92" s="112">
        <f>ROUND(VLOOKUP(B92,'boiler Technology'!$B$8:$AD$46,28,FALSE),0)</f>
        <v>300</v>
      </c>
      <c r="Z92" s="112">
        <f>ROUND(VLOOKUP(B92,'boiler Technology'!$B$8:$AD$46,29,FALSE),-1)</f>
        <v>4000</v>
      </c>
      <c r="AA92" s="112"/>
      <c r="AB92" s="112" t="s">
        <v>542</v>
      </c>
      <c r="AC92" s="112" t="s">
        <v>543</v>
      </c>
      <c r="AD92" s="112" t="s">
        <v>531</v>
      </c>
      <c r="AE92" s="112">
        <v>0</v>
      </c>
      <c r="AF92" s="114">
        <v>42005</v>
      </c>
      <c r="AG92" s="112"/>
      <c r="AH92" s="112" t="s">
        <v>544</v>
      </c>
      <c r="AI92" s="112" t="s">
        <v>545</v>
      </c>
      <c r="AJ92" s="112" t="str">
        <f>"Total Material cost = "&amp;W92&amp;" + "&amp;U92&amp;" * Number of Units ("&amp;D92&amp;"); Only unts between "&amp;Y92&amp;" and "&amp;Z92&amp;" kBTUh/hr can be claimed with this cost reference; Constant and perUnit costs include contractor markup of "&amp;TEXT(VLOOKUP(B92,'boiler Technology'!$B$8:$X$46,23,FALSE)*100,"00")&amp;"%"</f>
        <v>Total Material cost = 6869 + 12.83 * Number of Units (Cap-kBTUh); Only unts between 300 and 4000 kBTUh/hr can be claimed with this cost reference; Constant and perUnit costs include contractor markup of 30%</v>
      </c>
    </row>
    <row r="93" spans="1:36" s="10" customFormat="1">
      <c r="A93" s="112" t="s">
        <v>531</v>
      </c>
      <c r="B93" s="112" t="s">
        <v>453</v>
      </c>
      <c r="C93" s="112" t="s">
        <v>565</v>
      </c>
      <c r="D93" s="112" t="s">
        <v>549</v>
      </c>
      <c r="E93" s="112" t="s">
        <v>534</v>
      </c>
      <c r="F93" s="112" t="s">
        <v>535</v>
      </c>
      <c r="G93" s="112" t="s">
        <v>536</v>
      </c>
      <c r="H93" s="112" t="s">
        <v>116</v>
      </c>
      <c r="I93" s="112" t="s">
        <v>537</v>
      </c>
      <c r="J93" s="112" t="s">
        <v>550</v>
      </c>
      <c r="K93" s="112" t="s">
        <v>558</v>
      </c>
      <c r="L93" s="112" t="s">
        <v>552</v>
      </c>
      <c r="M93" s="112"/>
      <c r="N93" s="112" t="s">
        <v>531</v>
      </c>
      <c r="O93" s="112" t="s">
        <v>531</v>
      </c>
      <c r="P93" s="112" t="s">
        <v>531</v>
      </c>
      <c r="Q93" s="112" t="s">
        <v>531</v>
      </c>
      <c r="R93" s="112" t="s">
        <v>541</v>
      </c>
      <c r="S93" s="112"/>
      <c r="T93" s="112"/>
      <c r="U93" s="112">
        <f>VLOOKUP(B93,'boiler Technology'!$B$8:$AD$46,27,FALSE)</f>
        <v>12.83</v>
      </c>
      <c r="V93" s="110"/>
      <c r="W93" s="112">
        <f>VLOOKUP(B93,'boiler Technology'!$B$8:$AD$46,26,FALSE)</f>
        <v>-598</v>
      </c>
      <c r="X93" s="112"/>
      <c r="Y93" s="112">
        <f>ROUND(VLOOKUP(B93,'boiler Technology'!$B$8:$AD$46,28,FALSE),0)</f>
        <v>300</v>
      </c>
      <c r="Z93" s="112">
        <f>ROUND(VLOOKUP(B93,'boiler Technology'!$B$8:$AD$46,29,FALSE),-1)</f>
        <v>4000</v>
      </c>
      <c r="AA93" s="112"/>
      <c r="AB93" s="112" t="s">
        <v>542</v>
      </c>
      <c r="AC93" s="112" t="s">
        <v>543</v>
      </c>
      <c r="AD93" s="112" t="s">
        <v>531</v>
      </c>
      <c r="AE93" s="112">
        <v>0</v>
      </c>
      <c r="AF93" s="114">
        <v>42005</v>
      </c>
      <c r="AG93" s="112"/>
      <c r="AH93" s="112" t="s">
        <v>544</v>
      </c>
      <c r="AI93" s="112" t="s">
        <v>545</v>
      </c>
      <c r="AJ93" s="112" t="str">
        <f>"Total Material cost = "&amp;W93&amp;" + "&amp;U93&amp;" * Number of Units ("&amp;D93&amp;"); Only unts between "&amp;Y93&amp;" and "&amp;Z93&amp;" kBTUh/hr can be claimed with this cost reference; Constant and perUnit costs include contractor markup of "&amp;TEXT(VLOOKUP(B93,'boiler Technology'!$B$8:$X$46,23,FALSE)*100,"00")&amp;"%"</f>
        <v>Total Material cost = -598 + 12.83 * Number of Units (Cap-kBTUh); Only unts between 300 and 4000 kBTUh/hr can be claimed with this cost reference; Constant and perUnit costs include contractor markup of 30%</v>
      </c>
    </row>
    <row r="94" spans="1:36" s="10" customFormat="1">
      <c r="A94" s="112" t="s">
        <v>531</v>
      </c>
      <c r="B94" s="112" t="s">
        <v>466</v>
      </c>
      <c r="C94" s="112" t="s">
        <v>566</v>
      </c>
      <c r="D94" s="112" t="s">
        <v>549</v>
      </c>
      <c r="E94" s="112" t="s">
        <v>534</v>
      </c>
      <c r="F94" s="112" t="s">
        <v>535</v>
      </c>
      <c r="G94" s="112" t="s">
        <v>536</v>
      </c>
      <c r="H94" s="112" t="s">
        <v>116</v>
      </c>
      <c r="I94" s="112" t="s">
        <v>537</v>
      </c>
      <c r="J94" s="112" t="s">
        <v>550</v>
      </c>
      <c r="K94" s="112" t="s">
        <v>558</v>
      </c>
      <c r="L94" s="112" t="s">
        <v>552</v>
      </c>
      <c r="M94" s="112"/>
      <c r="N94" s="112" t="s">
        <v>531</v>
      </c>
      <c r="O94" s="112" t="s">
        <v>531</v>
      </c>
      <c r="P94" s="112" t="s">
        <v>531</v>
      </c>
      <c r="Q94" s="112" t="s">
        <v>531</v>
      </c>
      <c r="R94" s="112" t="s">
        <v>541</v>
      </c>
      <c r="S94" s="112"/>
      <c r="T94" s="112"/>
      <c r="U94" s="112">
        <f>VLOOKUP(B94,'boiler Technology'!$B$8:$AD$46,27,FALSE)</f>
        <v>17.600000000000001</v>
      </c>
      <c r="V94" s="110"/>
      <c r="W94" s="112">
        <f>VLOOKUP(B94,'boiler Technology'!$B$8:$AD$46,26,FALSE)</f>
        <v>-422</v>
      </c>
      <c r="X94" s="112"/>
      <c r="Y94" s="112">
        <f>ROUND(VLOOKUP(B94,'boiler Technology'!$B$8:$AD$46,28,FALSE),0)</f>
        <v>300</v>
      </c>
      <c r="Z94" s="112">
        <f>ROUND(VLOOKUP(B94,'boiler Technology'!$B$8:$AD$46,29,FALSE),-1)</f>
        <v>4000</v>
      </c>
      <c r="AA94" s="112"/>
      <c r="AB94" s="112" t="s">
        <v>542</v>
      </c>
      <c r="AC94" s="112" t="s">
        <v>543</v>
      </c>
      <c r="AD94" s="112" t="s">
        <v>531</v>
      </c>
      <c r="AE94" s="112">
        <v>0</v>
      </c>
      <c r="AF94" s="114">
        <v>42005</v>
      </c>
      <c r="AG94" s="112"/>
      <c r="AH94" s="112" t="s">
        <v>544</v>
      </c>
      <c r="AI94" s="112" t="s">
        <v>545</v>
      </c>
      <c r="AJ94" s="112" t="str">
        <f>"Total Material cost = "&amp;W94&amp;" + "&amp;U94&amp;" * Number of Units ("&amp;D94&amp;"); Only unts between "&amp;Y94&amp;" and "&amp;Z94&amp;" kBTUh/hr can be claimed with this cost reference; Constant and perUnit costs include contractor markup of "&amp;TEXT(VLOOKUP(B94,'boiler Technology'!$B$8:$X$46,23,FALSE)*100,"00")&amp;"%"</f>
        <v>Total Material cost = -422 + 17.6 * Number of Units (Cap-kBTUh); Only unts between 300 and 4000 kBTUh/hr can be claimed with this cost reference; Constant and perUnit costs include contractor markup of 30%</v>
      </c>
    </row>
    <row r="95" spans="1:36" s="10" customFormat="1">
      <c r="A95" s="112" t="s">
        <v>531</v>
      </c>
      <c r="B95" s="112" t="s">
        <v>468</v>
      </c>
      <c r="C95" s="112" t="s">
        <v>567</v>
      </c>
      <c r="D95" s="112" t="s">
        <v>549</v>
      </c>
      <c r="E95" s="112" t="s">
        <v>534</v>
      </c>
      <c r="F95" s="112" t="s">
        <v>535</v>
      </c>
      <c r="G95" s="112" t="s">
        <v>536</v>
      </c>
      <c r="H95" s="112" t="s">
        <v>116</v>
      </c>
      <c r="I95" s="112" t="s">
        <v>537</v>
      </c>
      <c r="J95" s="112" t="s">
        <v>550</v>
      </c>
      <c r="K95" s="112" t="s">
        <v>558</v>
      </c>
      <c r="L95" s="112" t="s">
        <v>552</v>
      </c>
      <c r="M95" s="112"/>
      <c r="N95" s="112" t="s">
        <v>531</v>
      </c>
      <c r="O95" s="112" t="s">
        <v>531</v>
      </c>
      <c r="P95" s="112" t="s">
        <v>531</v>
      </c>
      <c r="Q95" s="112" t="s">
        <v>531</v>
      </c>
      <c r="R95" s="112" t="s">
        <v>541</v>
      </c>
      <c r="S95" s="112"/>
      <c r="T95" s="112"/>
      <c r="U95" s="112">
        <f>VLOOKUP(B95,'boiler Technology'!$B$8:$AD$46,27,FALSE)</f>
        <v>17.600000000000001</v>
      </c>
      <c r="V95" s="110"/>
      <c r="W95" s="112">
        <f>VLOOKUP(B95,'boiler Technology'!$B$8:$AD$46,26,FALSE)</f>
        <v>12721</v>
      </c>
      <c r="X95" s="112"/>
      <c r="Y95" s="112">
        <f>ROUND(VLOOKUP(B95,'boiler Technology'!$B$8:$AD$46,28,FALSE),0)</f>
        <v>300</v>
      </c>
      <c r="Z95" s="112">
        <f>ROUND(VLOOKUP(B95,'boiler Technology'!$B$8:$AD$46,29,FALSE),-1)</f>
        <v>4000</v>
      </c>
      <c r="AA95" s="112"/>
      <c r="AB95" s="112" t="s">
        <v>542</v>
      </c>
      <c r="AC95" s="112" t="s">
        <v>543</v>
      </c>
      <c r="AD95" s="112" t="s">
        <v>531</v>
      </c>
      <c r="AE95" s="112">
        <v>0</v>
      </c>
      <c r="AF95" s="114">
        <v>42005</v>
      </c>
      <c r="AG95" s="112"/>
      <c r="AH95" s="112" t="s">
        <v>544</v>
      </c>
      <c r="AI95" s="112" t="s">
        <v>545</v>
      </c>
      <c r="AJ95" s="112" t="str">
        <f>"Total Material cost = "&amp;W95&amp;" + "&amp;U95&amp;" * Number of Units ("&amp;D95&amp;"); Only unts between "&amp;Y95&amp;" and "&amp;Z95&amp;" kBTUh/hr can be claimed with this cost reference; Constant and perUnit costs include contractor markup of "&amp;TEXT(VLOOKUP(B95,'boiler Technology'!$B$8:$X$46,23,FALSE)*100,"00")&amp;"%"</f>
        <v>Total Material cost = 12721 + 17.6 * Number of Units (Cap-kBTUh); Only unts between 300 and 4000 kBTUh/hr can be claimed with this cost reference; Constant and perUnit costs include contractor markup of 30%</v>
      </c>
    </row>
    <row r="96" spans="1:36" s="10" customFormat="1">
      <c r="A96" s="112" t="s">
        <v>531</v>
      </c>
      <c r="B96" s="112" t="s">
        <v>478</v>
      </c>
      <c r="C96" s="112" t="s">
        <v>568</v>
      </c>
      <c r="D96" s="112" t="s">
        <v>549</v>
      </c>
      <c r="E96" s="112" t="s">
        <v>534</v>
      </c>
      <c r="F96" s="112" t="s">
        <v>535</v>
      </c>
      <c r="G96" s="112" t="s">
        <v>536</v>
      </c>
      <c r="H96" s="112" t="s">
        <v>116</v>
      </c>
      <c r="I96" s="112" t="s">
        <v>537</v>
      </c>
      <c r="J96" s="112" t="s">
        <v>550</v>
      </c>
      <c r="K96" s="112" t="s">
        <v>558</v>
      </c>
      <c r="L96" s="112" t="s">
        <v>552</v>
      </c>
      <c r="M96" s="112"/>
      <c r="N96" s="112" t="s">
        <v>531</v>
      </c>
      <c r="O96" s="112" t="s">
        <v>531</v>
      </c>
      <c r="P96" s="112" t="s">
        <v>531</v>
      </c>
      <c r="Q96" s="112" t="s">
        <v>531</v>
      </c>
      <c r="R96" s="112" t="s">
        <v>541</v>
      </c>
      <c r="S96" s="112"/>
      <c r="T96" s="112"/>
      <c r="U96" s="112">
        <f>VLOOKUP(B96,'boiler Technology'!$B$8:$AD$46,27,FALSE)</f>
        <v>12.83</v>
      </c>
      <c r="V96" s="110"/>
      <c r="W96" s="112">
        <f>VLOOKUP(B96,'boiler Technology'!$B$8:$AD$46,26,FALSE)</f>
        <v>6869</v>
      </c>
      <c r="X96" s="112"/>
      <c r="Y96" s="112">
        <f>ROUND(VLOOKUP(B96,'boiler Technology'!$B$8:$AD$46,28,FALSE),0)</f>
        <v>300</v>
      </c>
      <c r="Z96" s="112">
        <f>ROUND(VLOOKUP(B96,'boiler Technology'!$B$8:$AD$46,29,FALSE),-1)</f>
        <v>4000</v>
      </c>
      <c r="AA96" s="112"/>
      <c r="AB96" s="112" t="s">
        <v>542</v>
      </c>
      <c r="AC96" s="112" t="s">
        <v>543</v>
      </c>
      <c r="AD96" s="112" t="s">
        <v>531</v>
      </c>
      <c r="AE96" s="112">
        <v>0</v>
      </c>
      <c r="AF96" s="114">
        <v>42005</v>
      </c>
      <c r="AG96" s="112"/>
      <c r="AH96" s="112" t="s">
        <v>544</v>
      </c>
      <c r="AI96" s="112" t="s">
        <v>545</v>
      </c>
      <c r="AJ96" s="112" t="str">
        <f>"Total Material cost = "&amp;W96&amp;" + "&amp;U96&amp;" * Number of Units ("&amp;D96&amp;"); Only unts between "&amp;Y96&amp;" and "&amp;Z96&amp;" kBTUh/hr can be claimed with this cost reference; Constant and perUnit costs include contractor markup of "&amp;TEXT(VLOOKUP(B96,'boiler Technology'!$B$8:$X$46,23,FALSE)*100,"00")&amp;"%"</f>
        <v>Total Material cost = 6869 + 12.83 * Number of Units (Cap-kBTUh); Only unts between 300 and 4000 kBTUh/hr can be claimed with this cost reference; Constant and perUnit costs include contractor markup of 30%</v>
      </c>
    </row>
    <row r="97" spans="1:36" s="10" customFormat="1">
      <c r="A97" s="112" t="s">
        <v>531</v>
      </c>
      <c r="B97" s="112" t="s">
        <v>471</v>
      </c>
      <c r="C97" s="112" t="s">
        <v>569</v>
      </c>
      <c r="D97" s="112" t="s">
        <v>549</v>
      </c>
      <c r="E97" s="112" t="s">
        <v>534</v>
      </c>
      <c r="F97" s="112" t="s">
        <v>535</v>
      </c>
      <c r="G97" s="112" t="s">
        <v>536</v>
      </c>
      <c r="H97" s="112" t="s">
        <v>116</v>
      </c>
      <c r="I97" s="112" t="s">
        <v>537</v>
      </c>
      <c r="J97" s="112" t="s">
        <v>550</v>
      </c>
      <c r="K97" s="112" t="s">
        <v>558</v>
      </c>
      <c r="L97" s="112" t="s">
        <v>552</v>
      </c>
      <c r="M97" s="112"/>
      <c r="N97" s="112" t="s">
        <v>531</v>
      </c>
      <c r="O97" s="112" t="s">
        <v>531</v>
      </c>
      <c r="P97" s="112" t="s">
        <v>531</v>
      </c>
      <c r="Q97" s="112" t="s">
        <v>531</v>
      </c>
      <c r="R97" s="112" t="s">
        <v>541</v>
      </c>
      <c r="S97" s="112"/>
      <c r="T97" s="112"/>
      <c r="U97" s="112">
        <f>VLOOKUP(B97,'boiler Technology'!$B$8:$AD$46,27,FALSE)</f>
        <v>12.83</v>
      </c>
      <c r="V97" s="110"/>
      <c r="W97" s="112">
        <f>VLOOKUP(B97,'boiler Technology'!$B$8:$AD$46,26,FALSE)</f>
        <v>-598</v>
      </c>
      <c r="X97" s="112"/>
      <c r="Y97" s="112">
        <f>ROUND(VLOOKUP(B97,'boiler Technology'!$B$8:$AD$46,28,FALSE),0)</f>
        <v>300</v>
      </c>
      <c r="Z97" s="112">
        <f>ROUND(VLOOKUP(B97,'boiler Technology'!$B$8:$AD$46,29,FALSE),-1)</f>
        <v>4000</v>
      </c>
      <c r="AA97" s="112"/>
      <c r="AB97" s="112" t="s">
        <v>542</v>
      </c>
      <c r="AC97" s="112" t="s">
        <v>543</v>
      </c>
      <c r="AD97" s="112" t="s">
        <v>531</v>
      </c>
      <c r="AE97" s="112">
        <v>0</v>
      </c>
      <c r="AF97" s="114">
        <v>42005</v>
      </c>
      <c r="AG97" s="112"/>
      <c r="AH97" s="112" t="s">
        <v>544</v>
      </c>
      <c r="AI97" s="112" t="s">
        <v>545</v>
      </c>
      <c r="AJ97" s="112" t="str">
        <f>"Total Material cost = "&amp;W97&amp;" + "&amp;U97&amp;" * Number of Units ("&amp;D97&amp;"); Only unts between "&amp;Y97&amp;" and "&amp;Z97&amp;" kBTUh/hr can be claimed with this cost reference; Constant and perUnit costs include contractor markup of "&amp;TEXT(VLOOKUP(B97,'boiler Technology'!$B$8:$X$46,23,FALSE)*100,"00")&amp;"%"</f>
        <v>Total Material cost = -598 + 12.83 * Number of Units (Cap-kBTUh); Only unts between 300 and 4000 kBTUh/hr can be claimed with this cost reference; Constant and perUnit costs include contractor markup of 30%</v>
      </c>
    </row>
    <row r="98" spans="1:36" s="10" customFormat="1">
      <c r="A98" s="112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0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</row>
    <row r="100" spans="1:36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</row>
    <row r="101" spans="1:36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</row>
    <row r="102" spans="1:36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0"/>
    </row>
    <row r="103" spans="1:36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</row>
    <row r="104" spans="1:36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</row>
    <row r="105" spans="1:36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0"/>
    </row>
    <row r="106" spans="1:36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</row>
    <row r="107" spans="1:36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</row>
    <row r="108" spans="1:36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</row>
    <row r="109" spans="1:36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</row>
    <row r="110" spans="1:36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</row>
    <row r="111" spans="1:36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</row>
    <row r="112" spans="1:36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</row>
    <row r="113" spans="3:3">
      <c r="C113" s="110"/>
    </row>
    <row r="114" spans="3:3">
      <c r="C114" s="110"/>
    </row>
    <row r="115" spans="3:3">
      <c r="C115" s="110"/>
    </row>
    <row r="116" spans="3:3">
      <c r="C116" s="110"/>
    </row>
    <row r="117" spans="3:3">
      <c r="C117" s="110"/>
    </row>
    <row r="118" spans="3:3">
      <c r="C118" s="110"/>
    </row>
    <row r="119" spans="3:3">
      <c r="C119" s="110"/>
    </row>
    <row r="120" spans="3:3">
      <c r="C120" s="110"/>
    </row>
    <row r="121" spans="3:3">
      <c r="C121" s="110"/>
    </row>
    <row r="122" spans="3:3">
      <c r="C122" s="110"/>
    </row>
    <row r="123" spans="3:3">
      <c r="C123" s="110"/>
    </row>
    <row r="124" spans="3:3">
      <c r="C124" s="110"/>
    </row>
    <row r="125" spans="3:3">
      <c r="C125" s="110"/>
    </row>
  </sheetData>
  <mergeCells count="1">
    <mergeCell ref="S4:V4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W127"/>
  <sheetViews>
    <sheetView workbookViewId="0">
      <pane ySplit="7" topLeftCell="A8" activePane="bottomLeft" state="frozen"/>
      <selection pane="bottomLeft" activeCell="A8" sqref="A8"/>
    </sheetView>
  </sheetViews>
  <sheetFormatPr defaultRowHeight="15"/>
  <cols>
    <col min="2" max="2" width="66.140625" customWidth="1"/>
    <col min="3" max="3" width="37.85546875" customWidth="1"/>
    <col min="4" max="4" width="13.85546875" customWidth="1"/>
    <col min="6" max="6" width="10.7109375" bestFit="1" customWidth="1"/>
    <col min="21" max="21" width="17.85546875" bestFit="1" customWidth="1"/>
    <col min="22" max="22" width="12.85546875" bestFit="1" customWidth="1"/>
    <col min="23" max="23" width="11.7109375" bestFit="1" customWidth="1"/>
    <col min="24" max="25" width="41.7109375" bestFit="1" customWidth="1"/>
    <col min="28" max="28" width="46" customWidth="1"/>
    <col min="29" max="29" width="43.5703125" customWidth="1"/>
    <col min="30" max="30" width="16.28515625" customWidth="1"/>
    <col min="31" max="31" width="29.28515625" customWidth="1"/>
    <col min="32" max="32" width="25.5703125" customWidth="1"/>
    <col min="52" max="54" width="9.140625" style="110"/>
    <col min="56" max="57" width="9.140625" style="110"/>
    <col min="60" max="60" width="9.140625" style="110"/>
  </cols>
  <sheetData>
    <row r="1" spans="1:63">
      <c r="A1" s="111" t="s">
        <v>570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BC1" s="110"/>
      <c r="BF1" s="110"/>
      <c r="BG1" s="110"/>
      <c r="BI1" s="110"/>
      <c r="BJ1" s="110"/>
      <c r="BK1" s="110"/>
    </row>
    <row r="3" spans="1:63">
      <c r="A3" s="111" t="s">
        <v>571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BC3" s="110"/>
      <c r="BF3" s="110"/>
      <c r="BG3" s="110"/>
      <c r="BI3" s="110"/>
      <c r="BJ3" s="110"/>
      <c r="BK3" s="110"/>
    </row>
    <row r="4" spans="1:63">
      <c r="A4" s="112" t="s">
        <v>572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BC4" s="110"/>
      <c r="BF4" s="110"/>
      <c r="BG4" s="110"/>
      <c r="BI4" s="110"/>
      <c r="BJ4" s="110"/>
      <c r="BK4" s="110"/>
    </row>
    <row r="5" spans="1:63">
      <c r="A5" s="112" t="s">
        <v>128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BC5" s="144" t="s">
        <v>573</v>
      </c>
      <c r="BD5" s="144"/>
      <c r="BE5" s="144"/>
      <c r="BF5" s="144"/>
      <c r="BG5" s="144"/>
      <c r="BH5" s="144"/>
      <c r="BI5" s="144"/>
      <c r="BJ5" s="144"/>
      <c r="BK5" s="110"/>
    </row>
    <row r="6" spans="1:63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38" t="s">
        <v>574</v>
      </c>
      <c r="AZ6" s="138"/>
      <c r="BA6" s="138"/>
      <c r="BB6" s="138"/>
      <c r="BC6" s="146" t="s">
        <v>575</v>
      </c>
      <c r="BD6" s="146"/>
      <c r="BE6" s="146"/>
      <c r="BF6" s="146" t="s">
        <v>576</v>
      </c>
      <c r="BG6" s="146"/>
      <c r="BH6" s="146"/>
      <c r="BI6" s="110"/>
      <c r="BJ6" s="110"/>
      <c r="BK6" s="110"/>
    </row>
    <row r="7" spans="1:63" ht="15.75" thickBot="1">
      <c r="A7" s="113" t="s">
        <v>149</v>
      </c>
      <c r="B7" s="113" t="s">
        <v>577</v>
      </c>
      <c r="C7" s="113" t="s">
        <v>5</v>
      </c>
      <c r="D7" s="113" t="s">
        <v>390</v>
      </c>
      <c r="E7" s="113" t="s">
        <v>504</v>
      </c>
      <c r="F7" s="113" t="s">
        <v>578</v>
      </c>
      <c r="G7" s="113" t="s">
        <v>579</v>
      </c>
      <c r="H7" s="113" t="s">
        <v>580</v>
      </c>
      <c r="I7" s="113" t="s">
        <v>581</v>
      </c>
      <c r="J7" s="113" t="s">
        <v>582</v>
      </c>
      <c r="K7" s="113" t="s">
        <v>583</v>
      </c>
      <c r="L7" s="113" t="s">
        <v>584</v>
      </c>
      <c r="M7" s="113" t="s">
        <v>585</v>
      </c>
      <c r="N7" s="113" t="s">
        <v>586</v>
      </c>
      <c r="O7" s="113" t="s">
        <v>587</v>
      </c>
      <c r="P7" s="113" t="s">
        <v>588</v>
      </c>
      <c r="Q7" s="113" t="s">
        <v>589</v>
      </c>
      <c r="R7" s="113" t="s">
        <v>101</v>
      </c>
      <c r="S7" s="113" t="s">
        <v>502</v>
      </c>
      <c r="T7" s="113" t="s">
        <v>506</v>
      </c>
      <c r="U7" s="113" t="s">
        <v>507</v>
      </c>
      <c r="V7" s="113" t="s">
        <v>508</v>
      </c>
      <c r="W7" s="113" t="s">
        <v>509</v>
      </c>
      <c r="X7" s="115" t="s">
        <v>389</v>
      </c>
      <c r="Y7" s="115" t="s">
        <v>590</v>
      </c>
      <c r="Z7" s="113" t="s">
        <v>591</v>
      </c>
      <c r="AA7" s="113" t="s">
        <v>592</v>
      </c>
      <c r="AB7" s="113" t="s">
        <v>593</v>
      </c>
      <c r="AC7" s="113" t="s">
        <v>594</v>
      </c>
      <c r="AD7" s="113" t="s">
        <v>595</v>
      </c>
      <c r="AE7" s="113" t="s">
        <v>596</v>
      </c>
      <c r="AF7" s="113" t="s">
        <v>597</v>
      </c>
      <c r="AG7" s="113" t="s">
        <v>527</v>
      </c>
      <c r="AH7" s="113" t="s">
        <v>529</v>
      </c>
      <c r="AI7" s="113" t="s">
        <v>598</v>
      </c>
      <c r="AJ7" s="113" t="s">
        <v>599</v>
      </c>
      <c r="AK7" s="113" t="s">
        <v>505</v>
      </c>
      <c r="AL7" s="113" t="s">
        <v>600</v>
      </c>
      <c r="AM7" s="113" t="s">
        <v>601</v>
      </c>
      <c r="AN7" s="113" t="s">
        <v>602</v>
      </c>
      <c r="AO7" s="113" t="s">
        <v>603</v>
      </c>
      <c r="AP7" s="113" t="s">
        <v>525</v>
      </c>
      <c r="AQ7" s="113" t="s">
        <v>526</v>
      </c>
      <c r="AR7" s="113" t="s">
        <v>528</v>
      </c>
      <c r="AS7" s="113" t="s">
        <v>604</v>
      </c>
      <c r="AT7" s="113" t="s">
        <v>605</v>
      </c>
      <c r="AU7" s="113" t="s">
        <v>606</v>
      </c>
      <c r="AV7" s="113" t="s">
        <v>607</v>
      </c>
      <c r="AW7" s="113" t="s">
        <v>608</v>
      </c>
      <c r="AX7" s="110"/>
      <c r="AY7" s="138" t="s">
        <v>609</v>
      </c>
      <c r="AZ7" s="138" t="s">
        <v>610</v>
      </c>
      <c r="BA7" s="138" t="s">
        <v>611</v>
      </c>
      <c r="BB7" s="138"/>
      <c r="BC7" s="138" t="s">
        <v>612</v>
      </c>
      <c r="BD7" s="138" t="s">
        <v>613</v>
      </c>
      <c r="BE7" s="138" t="s">
        <v>150</v>
      </c>
      <c r="BF7" s="138" t="s">
        <v>612</v>
      </c>
      <c r="BG7" s="138" t="s">
        <v>613</v>
      </c>
      <c r="BH7" s="138" t="s">
        <v>150</v>
      </c>
      <c r="BI7" s="110" t="s">
        <v>614</v>
      </c>
      <c r="BJ7" s="110"/>
      <c r="BK7" s="110" t="s">
        <v>577</v>
      </c>
    </row>
    <row r="8" spans="1:63">
      <c r="A8" s="112">
        <v>801</v>
      </c>
      <c r="B8" s="112" t="s">
        <v>615</v>
      </c>
      <c r="C8" s="112" t="s">
        <v>616</v>
      </c>
      <c r="D8" s="112" t="s">
        <v>156</v>
      </c>
      <c r="E8" s="112" t="s">
        <v>617</v>
      </c>
      <c r="F8" s="114">
        <v>42198</v>
      </c>
      <c r="G8" s="112" t="s">
        <v>615</v>
      </c>
      <c r="H8" s="112" t="s">
        <v>545</v>
      </c>
      <c r="I8" s="112" t="s">
        <v>404</v>
      </c>
      <c r="J8" s="112" t="s">
        <v>618</v>
      </c>
      <c r="K8" s="110"/>
      <c r="L8" s="110"/>
      <c r="M8" s="112" t="s">
        <v>618</v>
      </c>
      <c r="N8" s="110"/>
      <c r="O8" s="112" t="b">
        <v>0</v>
      </c>
      <c r="P8" s="110"/>
      <c r="Q8" s="112" t="b">
        <v>0</v>
      </c>
      <c r="R8" s="112" t="s">
        <v>116</v>
      </c>
      <c r="S8" s="112" t="s">
        <v>531</v>
      </c>
      <c r="T8" s="112" t="s">
        <v>537</v>
      </c>
      <c r="U8" s="112" t="s">
        <v>538</v>
      </c>
      <c r="V8" s="112" t="s">
        <v>539</v>
      </c>
      <c r="W8" s="112" t="s">
        <v>540</v>
      </c>
      <c r="X8" s="110" t="str">
        <f>IFERROR(VLOOKUP(AF8,MeasureCost!$B$6:$B$80,1,FALSE),"")</f>
        <v>dxAC-Com-Pkg-65to110kBTUh-EER11.5-2Spd</v>
      </c>
      <c r="Y8" s="110" t="str">
        <f>IFERROR(VLOOKUP(AE8,MeasureCost!$B$6:$B$80,1,FALSE),"")</f>
        <v>dxAC-Com-Pkg-65to110kBTUh-EER11.0-2Spd</v>
      </c>
      <c r="Z8" s="112" t="s">
        <v>619</v>
      </c>
      <c r="AA8" s="112" t="s">
        <v>620</v>
      </c>
      <c r="AB8" s="112" t="s">
        <v>212</v>
      </c>
      <c r="AC8" s="112" t="s">
        <v>214</v>
      </c>
      <c r="AD8" s="110"/>
      <c r="AE8" s="112" t="s">
        <v>211</v>
      </c>
      <c r="AF8" s="112" t="s">
        <v>213</v>
      </c>
      <c r="AG8" s="112" t="s">
        <v>621</v>
      </c>
      <c r="AH8" s="110"/>
      <c r="AI8" s="112" t="b">
        <v>0</v>
      </c>
      <c r="AJ8" s="112" t="b">
        <v>0</v>
      </c>
      <c r="AK8" s="110"/>
      <c r="AL8" s="112" t="s">
        <v>622</v>
      </c>
      <c r="AM8" s="112" t="s">
        <v>619</v>
      </c>
      <c r="AN8" s="110"/>
      <c r="AO8" s="112" t="s">
        <v>618</v>
      </c>
      <c r="AP8" s="114">
        <v>42005</v>
      </c>
      <c r="AQ8" s="110"/>
      <c r="AR8" s="112" t="s">
        <v>545</v>
      </c>
      <c r="AS8" s="110"/>
      <c r="AT8" s="110"/>
      <c r="AU8" s="110"/>
      <c r="AV8" s="110"/>
      <c r="AW8" s="112" t="s">
        <v>404</v>
      </c>
      <c r="AX8" s="110"/>
      <c r="AY8" s="138">
        <f>VLOOKUP(X8,MeasureCost!$B$6:$Z$97,24,FALSE)</f>
        <v>6.9</v>
      </c>
      <c r="AZ8" s="138">
        <f>VLOOKUP(X8,MeasureCost!$B$6:$Z$97,25,FALSE)</f>
        <v>106</v>
      </c>
      <c r="BA8" s="138">
        <v>10</v>
      </c>
      <c r="BB8" s="138"/>
      <c r="BC8" s="97">
        <f>VLOOKUP(X8,MeasureCost!$B$6:$W$97,22,FALSE)</f>
        <v>1664.58</v>
      </c>
      <c r="BD8" s="97">
        <f>VLOOKUP(X8,MeasureCost!$B$6:$W$97,20,FALSE)</f>
        <v>1150.27</v>
      </c>
      <c r="BE8" s="97">
        <f>+BC8+BD8*BA8</f>
        <v>13167.28</v>
      </c>
      <c r="BF8" s="97">
        <f>VLOOKUP(Y8,MeasureCost!$B$6:$W$97,22,FALSE)</f>
        <v>277.25</v>
      </c>
      <c r="BG8" s="97">
        <f>VLOOKUP(Y8,MeasureCost!$B$6:$W$97,20,FALSE)</f>
        <v>1150.27</v>
      </c>
      <c r="BH8" s="97">
        <f>+BF8+BG8*BA8</f>
        <v>11779.95</v>
      </c>
      <c r="BI8" s="82">
        <f>+(BE8-BH8)/BA8</f>
        <v>138.733</v>
      </c>
      <c r="BJ8" s="110"/>
      <c r="BK8" s="110" t="str">
        <f>+B8</f>
        <v>NE-HVAC-airAC-SpltPkg-65to109kBtuh-11p5eer</v>
      </c>
    </row>
    <row r="9" spans="1:63">
      <c r="A9" s="112">
        <v>802</v>
      </c>
      <c r="B9" s="112" t="s">
        <v>623</v>
      </c>
      <c r="C9" s="112" t="s">
        <v>624</v>
      </c>
      <c r="D9" s="112" t="s">
        <v>156</v>
      </c>
      <c r="E9" s="112" t="s">
        <v>617</v>
      </c>
      <c r="F9" s="114">
        <v>42198</v>
      </c>
      <c r="G9" s="112" t="s">
        <v>623</v>
      </c>
      <c r="H9" s="112" t="s">
        <v>545</v>
      </c>
      <c r="I9" s="112" t="s">
        <v>404</v>
      </c>
      <c r="J9" s="112" t="s">
        <v>618</v>
      </c>
      <c r="K9" s="110"/>
      <c r="L9" s="110"/>
      <c r="M9" s="112" t="s">
        <v>618</v>
      </c>
      <c r="N9" s="110"/>
      <c r="O9" s="112" t="b">
        <v>0</v>
      </c>
      <c r="P9" s="110"/>
      <c r="Q9" s="112" t="b">
        <v>0</v>
      </c>
      <c r="R9" s="112" t="s">
        <v>116</v>
      </c>
      <c r="S9" s="112" t="s">
        <v>531</v>
      </c>
      <c r="T9" s="112" t="s">
        <v>537</v>
      </c>
      <c r="U9" s="112" t="s">
        <v>538</v>
      </c>
      <c r="V9" s="112" t="s">
        <v>539</v>
      </c>
      <c r="W9" s="112" t="s">
        <v>540</v>
      </c>
      <c r="X9" s="110" t="str">
        <f>IFERROR(VLOOKUP(AF9,MeasureCost!$B$6:$B$80,1,FALSE),"")</f>
        <v>dxAC-Com-Pkg-65to110kBTUh-EER12.0-2Spd</v>
      </c>
      <c r="Y9" s="110" t="str">
        <f>IFERROR(VLOOKUP(AE9,MeasureCost!$B$6:$B$80,1,FALSE),"")</f>
        <v>dxAC-Com-Pkg-65to110kBTUh-EER11.0-2Spd</v>
      </c>
      <c r="Z9" s="112" t="s">
        <v>619</v>
      </c>
      <c r="AA9" s="112" t="s">
        <v>620</v>
      </c>
      <c r="AB9" s="112" t="s">
        <v>212</v>
      </c>
      <c r="AC9" s="112" t="s">
        <v>216</v>
      </c>
      <c r="AD9" s="110"/>
      <c r="AE9" s="112" t="s">
        <v>211</v>
      </c>
      <c r="AF9" s="112" t="s">
        <v>215</v>
      </c>
      <c r="AG9" s="112" t="s">
        <v>621</v>
      </c>
      <c r="AH9" s="110"/>
      <c r="AI9" s="112" t="b">
        <v>0</v>
      </c>
      <c r="AJ9" s="112" t="b">
        <v>0</v>
      </c>
      <c r="AK9" s="110"/>
      <c r="AL9" s="112" t="s">
        <v>622</v>
      </c>
      <c r="AM9" s="112" t="s">
        <v>619</v>
      </c>
      <c r="AN9" s="110"/>
      <c r="AO9" s="112" t="s">
        <v>618</v>
      </c>
      <c r="AP9" s="114">
        <v>42005</v>
      </c>
      <c r="AQ9" s="110"/>
      <c r="AR9" s="112" t="s">
        <v>545</v>
      </c>
      <c r="AS9" s="110"/>
      <c r="AT9" s="110"/>
      <c r="AU9" s="110"/>
      <c r="AV9" s="110"/>
      <c r="AW9" s="112" t="s">
        <v>404</v>
      </c>
      <c r="AX9" s="110"/>
      <c r="AY9" s="138">
        <f>VLOOKUP(X9,MeasureCost!$B$6:$Z$97,24,FALSE)</f>
        <v>6.9</v>
      </c>
      <c r="AZ9" s="138">
        <f>VLOOKUP(X9,MeasureCost!$B$6:$Z$97,25,FALSE)</f>
        <v>106</v>
      </c>
      <c r="BA9" s="138">
        <v>10</v>
      </c>
      <c r="BC9" s="97">
        <f>VLOOKUP(X9,MeasureCost!$B$6:$W$97,22,FALSE)</f>
        <v>3051.92</v>
      </c>
      <c r="BD9" s="97">
        <f>VLOOKUP(X9,MeasureCost!$B$6:$W$97,20,FALSE)</f>
        <v>1150.27</v>
      </c>
      <c r="BE9" s="97">
        <f t="shared" ref="BE9:BE57" si="0">+BC9+BD9*BA9</f>
        <v>14554.62</v>
      </c>
      <c r="BF9" s="97">
        <f>VLOOKUP(Y9,MeasureCost!$B$6:$W$97,22,FALSE)</f>
        <v>277.25</v>
      </c>
      <c r="BG9" s="97">
        <f>VLOOKUP(Y9,MeasureCost!$B$6:$W$97,20,FALSE)</f>
        <v>1150.27</v>
      </c>
      <c r="BH9" s="97">
        <f t="shared" ref="BH9:BH57" si="1">+BF9+BG9*BA9</f>
        <v>11779.95</v>
      </c>
      <c r="BI9" s="82">
        <f t="shared" ref="BI9:BI57" si="2">+(BE9-BH9)/BA9</f>
        <v>277.46699999999998</v>
      </c>
      <c r="BJ9" s="110"/>
      <c r="BK9" s="110" t="str">
        <f t="shared" ref="BK9:BK57" si="3">+B9</f>
        <v>NE-HVAC-airAC-SpltPkg-65to109kBtuh-12p0eer</v>
      </c>
    </row>
    <row r="10" spans="1:63">
      <c r="A10" s="112">
        <v>803</v>
      </c>
      <c r="B10" s="112" t="s">
        <v>625</v>
      </c>
      <c r="C10" s="112" t="s">
        <v>626</v>
      </c>
      <c r="D10" s="112" t="s">
        <v>156</v>
      </c>
      <c r="E10" s="112" t="s">
        <v>617</v>
      </c>
      <c r="F10" s="114">
        <v>42198</v>
      </c>
      <c r="G10" s="112" t="s">
        <v>625</v>
      </c>
      <c r="H10" s="112" t="s">
        <v>545</v>
      </c>
      <c r="I10" s="112" t="s">
        <v>404</v>
      </c>
      <c r="J10" s="112" t="s">
        <v>618</v>
      </c>
      <c r="K10" s="110"/>
      <c r="L10" s="110"/>
      <c r="M10" s="112" t="s">
        <v>618</v>
      </c>
      <c r="N10" s="110"/>
      <c r="O10" s="112" t="b">
        <v>0</v>
      </c>
      <c r="P10" s="110"/>
      <c r="Q10" s="112" t="b">
        <v>0</v>
      </c>
      <c r="R10" s="112" t="s">
        <v>116</v>
      </c>
      <c r="S10" s="112" t="s">
        <v>531</v>
      </c>
      <c r="T10" s="112" t="s">
        <v>537</v>
      </c>
      <c r="U10" s="112" t="s">
        <v>538</v>
      </c>
      <c r="V10" s="112" t="s">
        <v>539</v>
      </c>
      <c r="W10" s="112" t="s">
        <v>540</v>
      </c>
      <c r="X10" s="110" t="str">
        <f>IFERROR(VLOOKUP(AF10,MeasureCost!$B$6:$B$80,1,FALSE),"")</f>
        <v>dxAC-Com-Pkg-65to110kBTUh-EER13.0-2Spd</v>
      </c>
      <c r="Y10" s="110" t="str">
        <f>IFERROR(VLOOKUP(AE10,MeasureCost!$B$6:$B$80,1,FALSE),"")</f>
        <v>dxAC-Com-Pkg-65to110kBTUh-EER11.0-2Spd</v>
      </c>
      <c r="Z10" s="112" t="s">
        <v>619</v>
      </c>
      <c r="AA10" s="112" t="s">
        <v>620</v>
      </c>
      <c r="AB10" s="112" t="s">
        <v>212</v>
      </c>
      <c r="AC10" s="112" t="s">
        <v>218</v>
      </c>
      <c r="AD10" s="110"/>
      <c r="AE10" s="112" t="s">
        <v>211</v>
      </c>
      <c r="AF10" s="112" t="s">
        <v>217</v>
      </c>
      <c r="AG10" s="112" t="s">
        <v>621</v>
      </c>
      <c r="AH10" s="110"/>
      <c r="AI10" s="112" t="b">
        <v>0</v>
      </c>
      <c r="AJ10" s="112" t="b">
        <v>0</v>
      </c>
      <c r="AK10" s="110"/>
      <c r="AL10" s="112" t="s">
        <v>622</v>
      </c>
      <c r="AM10" s="112" t="s">
        <v>619</v>
      </c>
      <c r="AN10" s="110"/>
      <c r="AO10" s="112" t="s">
        <v>618</v>
      </c>
      <c r="AP10" s="114">
        <v>42005</v>
      </c>
      <c r="AQ10" s="110"/>
      <c r="AR10" s="112" t="s">
        <v>545</v>
      </c>
      <c r="AS10" s="110"/>
      <c r="AT10" s="110"/>
      <c r="AU10" s="110"/>
      <c r="AV10" s="110"/>
      <c r="AW10" s="112" t="s">
        <v>404</v>
      </c>
      <c r="AX10" s="110"/>
      <c r="AY10" s="138">
        <f>VLOOKUP(X10,MeasureCost!$B$6:$Z$97,24,FALSE)</f>
        <v>6.9</v>
      </c>
      <c r="AZ10" s="138">
        <f>VLOOKUP(X10,MeasureCost!$B$6:$Z$97,25,FALSE)</f>
        <v>106</v>
      </c>
      <c r="BA10" s="138">
        <v>10</v>
      </c>
      <c r="BC10" s="97">
        <f>VLOOKUP(X10,MeasureCost!$B$6:$W$97,22,FALSE)</f>
        <v>5826.59</v>
      </c>
      <c r="BD10" s="97">
        <f>VLOOKUP(X10,MeasureCost!$B$6:$W$97,20,FALSE)</f>
        <v>1150.27</v>
      </c>
      <c r="BE10" s="97">
        <f t="shared" si="0"/>
        <v>17329.29</v>
      </c>
      <c r="BF10" s="97">
        <f>VLOOKUP(Y10,MeasureCost!$B$6:$W$97,22,FALSE)</f>
        <v>277.25</v>
      </c>
      <c r="BG10" s="97">
        <f>VLOOKUP(Y10,MeasureCost!$B$6:$W$97,20,FALSE)</f>
        <v>1150.27</v>
      </c>
      <c r="BH10" s="97">
        <f t="shared" si="1"/>
        <v>11779.95</v>
      </c>
      <c r="BI10" s="82">
        <f t="shared" si="2"/>
        <v>554.93399999999997</v>
      </c>
      <c r="BJ10" s="110"/>
      <c r="BK10" s="110" t="str">
        <f t="shared" si="3"/>
        <v>NE-HVAC-airAC-SpltPkg-65to109kBtuh-13p0eer</v>
      </c>
    </row>
    <row r="11" spans="1:63">
      <c r="A11" s="112">
        <v>804</v>
      </c>
      <c r="B11" s="112" t="s">
        <v>627</v>
      </c>
      <c r="C11" s="112" t="s">
        <v>628</v>
      </c>
      <c r="D11" s="112" t="s">
        <v>156</v>
      </c>
      <c r="E11" s="112" t="s">
        <v>617</v>
      </c>
      <c r="F11" s="114">
        <v>42198</v>
      </c>
      <c r="G11" s="112" t="s">
        <v>627</v>
      </c>
      <c r="H11" s="112" t="s">
        <v>545</v>
      </c>
      <c r="I11" s="112" t="s">
        <v>404</v>
      </c>
      <c r="J11" s="112" t="s">
        <v>618</v>
      </c>
      <c r="K11" s="110"/>
      <c r="L11" s="110"/>
      <c r="M11" s="112" t="s">
        <v>618</v>
      </c>
      <c r="N11" s="110"/>
      <c r="O11" s="112" t="b">
        <v>0</v>
      </c>
      <c r="P11" s="110"/>
      <c r="Q11" s="112" t="b">
        <v>0</v>
      </c>
      <c r="R11" s="112" t="s">
        <v>116</v>
      </c>
      <c r="S11" s="112" t="s">
        <v>531</v>
      </c>
      <c r="T11" s="112" t="s">
        <v>537</v>
      </c>
      <c r="U11" s="112" t="s">
        <v>538</v>
      </c>
      <c r="V11" s="112" t="s">
        <v>539</v>
      </c>
      <c r="W11" s="112" t="s">
        <v>540</v>
      </c>
      <c r="X11" s="110" t="str">
        <f>IFERROR(VLOOKUP(AF11,MeasureCost!$B$6:$B$80,1,FALSE),"")</f>
        <v>dxAC-Com-Pkg-65to110kBTUh-EER11.5-2Spd</v>
      </c>
      <c r="Y11" s="110" t="str">
        <f>IFERROR(VLOOKUP(AE11,MeasureCost!$B$6:$B$80,1,FALSE),"")</f>
        <v>dxAC-Com-Pkg-65to110kBTUh-EER11.0-2Spd</v>
      </c>
      <c r="Z11" s="112" t="s">
        <v>619</v>
      </c>
      <c r="AA11" s="112" t="s">
        <v>629</v>
      </c>
      <c r="AB11" s="112" t="s">
        <v>212</v>
      </c>
      <c r="AC11" s="112" t="s">
        <v>214</v>
      </c>
      <c r="AD11" s="110"/>
      <c r="AE11" s="112" t="s">
        <v>211</v>
      </c>
      <c r="AF11" s="112" t="s">
        <v>213</v>
      </c>
      <c r="AG11" s="112" t="s">
        <v>621</v>
      </c>
      <c r="AH11" s="110"/>
      <c r="AI11" s="112" t="b">
        <v>0</v>
      </c>
      <c r="AJ11" s="112" t="b">
        <v>0</v>
      </c>
      <c r="AK11" s="110"/>
      <c r="AL11" s="112" t="s">
        <v>622</v>
      </c>
      <c r="AM11" s="112" t="s">
        <v>619</v>
      </c>
      <c r="AN11" s="110"/>
      <c r="AO11" s="112" t="s">
        <v>618</v>
      </c>
      <c r="AP11" s="114">
        <v>42005</v>
      </c>
      <c r="AQ11" s="110"/>
      <c r="AR11" s="112" t="s">
        <v>545</v>
      </c>
      <c r="AS11" s="110"/>
      <c r="AT11" s="110"/>
      <c r="AU11" s="110"/>
      <c r="AV11" s="110"/>
      <c r="AW11" s="112" t="s">
        <v>404</v>
      </c>
      <c r="AX11" s="110"/>
      <c r="AY11" s="138">
        <f>VLOOKUP(X11,MeasureCost!$B$6:$Z$97,24,FALSE)</f>
        <v>6.9</v>
      </c>
      <c r="AZ11" s="138">
        <f>VLOOKUP(X11,MeasureCost!$B$6:$Z$97,25,FALSE)</f>
        <v>106</v>
      </c>
      <c r="BA11" s="138">
        <v>10</v>
      </c>
      <c r="BC11" s="97">
        <f>VLOOKUP(X11,MeasureCost!$B$6:$W$97,22,FALSE)</f>
        <v>1664.58</v>
      </c>
      <c r="BD11" s="97">
        <f>VLOOKUP(X11,MeasureCost!$B$6:$W$97,20,FALSE)</f>
        <v>1150.27</v>
      </c>
      <c r="BE11" s="97">
        <f t="shared" si="0"/>
        <v>13167.28</v>
      </c>
      <c r="BF11" s="97">
        <f>VLOOKUP(Y11,MeasureCost!$B$6:$W$97,22,FALSE)</f>
        <v>277.25</v>
      </c>
      <c r="BG11" s="97">
        <f>VLOOKUP(Y11,MeasureCost!$B$6:$W$97,20,FALSE)</f>
        <v>1150.27</v>
      </c>
      <c r="BH11" s="97">
        <f t="shared" si="1"/>
        <v>11779.95</v>
      </c>
      <c r="BI11" s="82">
        <f t="shared" si="2"/>
        <v>138.733</v>
      </c>
      <c r="BJ11" s="110"/>
      <c r="BK11" s="110" t="str">
        <f t="shared" si="3"/>
        <v>NE-HVAC-airAC-SpltPkg-65to109kBtuh-11p5eer-wPreEcono</v>
      </c>
    </row>
    <row r="12" spans="1:63">
      <c r="A12" s="112">
        <v>805</v>
      </c>
      <c r="B12" s="112" t="s">
        <v>630</v>
      </c>
      <c r="C12" s="112" t="s">
        <v>631</v>
      </c>
      <c r="D12" s="112" t="s">
        <v>156</v>
      </c>
      <c r="E12" s="112" t="s">
        <v>617</v>
      </c>
      <c r="F12" s="114">
        <v>42198</v>
      </c>
      <c r="G12" s="112" t="s">
        <v>630</v>
      </c>
      <c r="H12" s="112" t="s">
        <v>545</v>
      </c>
      <c r="I12" s="112" t="s">
        <v>404</v>
      </c>
      <c r="J12" s="112" t="s">
        <v>618</v>
      </c>
      <c r="K12" s="110"/>
      <c r="L12" s="110"/>
      <c r="M12" s="112" t="s">
        <v>618</v>
      </c>
      <c r="N12" s="110"/>
      <c r="O12" s="112" t="b">
        <v>0</v>
      </c>
      <c r="P12" s="110"/>
      <c r="Q12" s="112" t="b">
        <v>0</v>
      </c>
      <c r="R12" s="112" t="s">
        <v>116</v>
      </c>
      <c r="S12" s="112" t="s">
        <v>531</v>
      </c>
      <c r="T12" s="112" t="s">
        <v>537</v>
      </c>
      <c r="U12" s="112" t="s">
        <v>538</v>
      </c>
      <c r="V12" s="112" t="s">
        <v>539</v>
      </c>
      <c r="W12" s="112" t="s">
        <v>540</v>
      </c>
      <c r="X12" s="110" t="str">
        <f>IFERROR(VLOOKUP(AF12,MeasureCost!$B$6:$B$80,1,FALSE),"")</f>
        <v>dxAC-Com-Pkg-65to110kBTUh-EER12.0-2Spd</v>
      </c>
      <c r="Y12" s="110" t="str">
        <f>IFERROR(VLOOKUP(AE12,MeasureCost!$B$6:$B$80,1,FALSE),"")</f>
        <v>dxAC-Com-Pkg-65to110kBTUh-EER11.0-2Spd</v>
      </c>
      <c r="Z12" s="112" t="s">
        <v>619</v>
      </c>
      <c r="AA12" s="112" t="s">
        <v>629</v>
      </c>
      <c r="AB12" s="112" t="s">
        <v>212</v>
      </c>
      <c r="AC12" s="112" t="s">
        <v>216</v>
      </c>
      <c r="AD12" s="110"/>
      <c r="AE12" s="112" t="s">
        <v>211</v>
      </c>
      <c r="AF12" s="112" t="s">
        <v>215</v>
      </c>
      <c r="AG12" s="112" t="s">
        <v>621</v>
      </c>
      <c r="AH12" s="110"/>
      <c r="AI12" s="112" t="b">
        <v>0</v>
      </c>
      <c r="AJ12" s="112" t="b">
        <v>0</v>
      </c>
      <c r="AK12" s="110"/>
      <c r="AL12" s="112" t="s">
        <v>622</v>
      </c>
      <c r="AM12" s="112" t="s">
        <v>619</v>
      </c>
      <c r="AN12" s="110"/>
      <c r="AO12" s="112" t="s">
        <v>618</v>
      </c>
      <c r="AP12" s="114">
        <v>42005</v>
      </c>
      <c r="AQ12" s="110"/>
      <c r="AR12" s="112" t="s">
        <v>545</v>
      </c>
      <c r="AS12" s="110"/>
      <c r="AT12" s="110"/>
      <c r="AU12" s="110"/>
      <c r="AV12" s="110"/>
      <c r="AW12" s="112" t="s">
        <v>404</v>
      </c>
      <c r="AX12" s="110"/>
      <c r="AY12" s="138">
        <f>VLOOKUP(X12,MeasureCost!$B$6:$Z$97,24,FALSE)</f>
        <v>6.9</v>
      </c>
      <c r="AZ12" s="138">
        <f>VLOOKUP(X12,MeasureCost!$B$6:$Z$97,25,FALSE)</f>
        <v>106</v>
      </c>
      <c r="BA12" s="138">
        <v>10</v>
      </c>
      <c r="BC12" s="97">
        <f>VLOOKUP(X12,MeasureCost!$B$6:$W$97,22,FALSE)</f>
        <v>3051.92</v>
      </c>
      <c r="BD12" s="97">
        <f>VLOOKUP(X12,MeasureCost!$B$6:$W$97,20,FALSE)</f>
        <v>1150.27</v>
      </c>
      <c r="BE12" s="97">
        <f t="shared" si="0"/>
        <v>14554.62</v>
      </c>
      <c r="BF12" s="97">
        <f>VLOOKUP(Y12,MeasureCost!$B$6:$W$97,22,FALSE)</f>
        <v>277.25</v>
      </c>
      <c r="BG12" s="97">
        <f>VLOOKUP(Y12,MeasureCost!$B$6:$W$97,20,FALSE)</f>
        <v>1150.27</v>
      </c>
      <c r="BH12" s="97">
        <f t="shared" si="1"/>
        <v>11779.95</v>
      </c>
      <c r="BI12" s="82">
        <f t="shared" si="2"/>
        <v>277.46699999999998</v>
      </c>
      <c r="BJ12" s="110"/>
      <c r="BK12" s="110" t="str">
        <f t="shared" si="3"/>
        <v>NE-HVAC-airAC-SpltPkg-65to109kBtuh-12p0eer-wPreEcono</v>
      </c>
    </row>
    <row r="13" spans="1:63">
      <c r="A13" s="112">
        <v>806</v>
      </c>
      <c r="B13" s="112" t="s">
        <v>632</v>
      </c>
      <c r="C13" s="112" t="s">
        <v>633</v>
      </c>
      <c r="D13" s="112" t="s">
        <v>156</v>
      </c>
      <c r="E13" s="112" t="s">
        <v>617</v>
      </c>
      <c r="F13" s="114">
        <v>42198</v>
      </c>
      <c r="G13" s="112" t="s">
        <v>632</v>
      </c>
      <c r="H13" s="112" t="s">
        <v>545</v>
      </c>
      <c r="I13" s="112" t="s">
        <v>404</v>
      </c>
      <c r="J13" s="112" t="s">
        <v>618</v>
      </c>
      <c r="K13" s="110"/>
      <c r="L13" s="110"/>
      <c r="M13" s="112" t="s">
        <v>618</v>
      </c>
      <c r="N13" s="110"/>
      <c r="O13" s="112" t="b">
        <v>0</v>
      </c>
      <c r="P13" s="110"/>
      <c r="Q13" s="112" t="b">
        <v>0</v>
      </c>
      <c r="R13" s="112" t="s">
        <v>116</v>
      </c>
      <c r="S13" s="112" t="s">
        <v>531</v>
      </c>
      <c r="T13" s="112" t="s">
        <v>537</v>
      </c>
      <c r="U13" s="112" t="s">
        <v>538</v>
      </c>
      <c r="V13" s="112" t="s">
        <v>539</v>
      </c>
      <c r="W13" s="112" t="s">
        <v>540</v>
      </c>
      <c r="X13" s="110" t="str">
        <f>IFERROR(VLOOKUP(AF13,MeasureCost!$B$6:$B$80,1,FALSE),"")</f>
        <v>dxAC-Com-Pkg-65to110kBTUh-EER13.0-2Spd</v>
      </c>
      <c r="Y13" s="110" t="str">
        <f>IFERROR(VLOOKUP(AE13,MeasureCost!$B$6:$B$80,1,FALSE),"")</f>
        <v>dxAC-Com-Pkg-65to110kBTUh-EER11.0-2Spd</v>
      </c>
      <c r="Z13" s="112" t="s">
        <v>619</v>
      </c>
      <c r="AA13" s="112" t="s">
        <v>629</v>
      </c>
      <c r="AB13" s="112" t="s">
        <v>212</v>
      </c>
      <c r="AC13" s="112" t="s">
        <v>218</v>
      </c>
      <c r="AD13" s="110"/>
      <c r="AE13" s="112" t="s">
        <v>211</v>
      </c>
      <c r="AF13" s="112" t="s">
        <v>217</v>
      </c>
      <c r="AG13" s="112" t="s">
        <v>621</v>
      </c>
      <c r="AH13" s="110"/>
      <c r="AI13" s="112" t="b">
        <v>0</v>
      </c>
      <c r="AJ13" s="112" t="b">
        <v>0</v>
      </c>
      <c r="AK13" s="110"/>
      <c r="AL13" s="112" t="s">
        <v>622</v>
      </c>
      <c r="AM13" s="112" t="s">
        <v>619</v>
      </c>
      <c r="AN13" s="110"/>
      <c r="AO13" s="112" t="s">
        <v>618</v>
      </c>
      <c r="AP13" s="114">
        <v>42005</v>
      </c>
      <c r="AQ13" s="110"/>
      <c r="AR13" s="112" t="s">
        <v>545</v>
      </c>
      <c r="AS13" s="110"/>
      <c r="AT13" s="110"/>
      <c r="AU13" s="110"/>
      <c r="AV13" s="110"/>
      <c r="AW13" s="112" t="s">
        <v>404</v>
      </c>
      <c r="AX13" s="110"/>
      <c r="AY13" s="138">
        <f>VLOOKUP(X13,MeasureCost!$B$6:$Z$97,24,FALSE)</f>
        <v>6.9</v>
      </c>
      <c r="AZ13" s="138">
        <f>VLOOKUP(X13,MeasureCost!$B$6:$Z$97,25,FALSE)</f>
        <v>106</v>
      </c>
      <c r="BA13" s="138">
        <v>10</v>
      </c>
      <c r="BC13" s="97">
        <f>VLOOKUP(X13,MeasureCost!$B$6:$W$97,22,FALSE)</f>
        <v>5826.59</v>
      </c>
      <c r="BD13" s="97">
        <f>VLOOKUP(X13,MeasureCost!$B$6:$W$97,20,FALSE)</f>
        <v>1150.27</v>
      </c>
      <c r="BE13" s="97">
        <f t="shared" si="0"/>
        <v>17329.29</v>
      </c>
      <c r="BF13" s="97">
        <f>VLOOKUP(Y13,MeasureCost!$B$6:$W$97,22,FALSE)</f>
        <v>277.25</v>
      </c>
      <c r="BG13" s="97">
        <f>VLOOKUP(Y13,MeasureCost!$B$6:$W$97,20,FALSE)</f>
        <v>1150.27</v>
      </c>
      <c r="BH13" s="97">
        <f t="shared" si="1"/>
        <v>11779.95</v>
      </c>
      <c r="BI13" s="82">
        <f t="shared" si="2"/>
        <v>554.93399999999997</v>
      </c>
      <c r="BJ13" s="110"/>
      <c r="BK13" s="110" t="str">
        <f t="shared" si="3"/>
        <v>NE-HVAC-airAC-SpltPkg-65to109kBtuh-13p0eer-wPreEcono</v>
      </c>
    </row>
    <row r="14" spans="1:63">
      <c r="A14" s="112">
        <v>807</v>
      </c>
      <c r="B14" s="112" t="s">
        <v>634</v>
      </c>
      <c r="C14" s="112" t="s">
        <v>168</v>
      </c>
      <c r="D14" s="112" t="s">
        <v>156</v>
      </c>
      <c r="E14" s="112" t="s">
        <v>617</v>
      </c>
      <c r="F14" s="114">
        <v>42198</v>
      </c>
      <c r="G14" s="112" t="s">
        <v>634</v>
      </c>
      <c r="H14" s="112" t="s">
        <v>545</v>
      </c>
      <c r="I14" s="112" t="s">
        <v>404</v>
      </c>
      <c r="J14" s="112" t="s">
        <v>618</v>
      </c>
      <c r="K14" s="110"/>
      <c r="L14" s="110"/>
      <c r="M14" s="112" t="s">
        <v>618</v>
      </c>
      <c r="N14" s="110"/>
      <c r="O14" s="112" t="b">
        <v>0</v>
      </c>
      <c r="P14" s="110"/>
      <c r="Q14" s="112" t="b">
        <v>0</v>
      </c>
      <c r="R14" s="112" t="s">
        <v>116</v>
      </c>
      <c r="S14" s="112" t="s">
        <v>531</v>
      </c>
      <c r="T14" s="112" t="s">
        <v>537</v>
      </c>
      <c r="U14" s="112" t="s">
        <v>538</v>
      </c>
      <c r="V14" s="112" t="s">
        <v>539</v>
      </c>
      <c r="W14" s="112" t="s">
        <v>540</v>
      </c>
      <c r="X14" s="110" t="str">
        <f>IFERROR(VLOOKUP(AF14,MeasureCost!$B$6:$B$80,1,FALSE),"")</f>
        <v>dxAC-Com-Pkg-110to135kBTUh-EER11.5-2Spd</v>
      </c>
      <c r="Y14" s="110" t="str">
        <f>IFERROR(VLOOKUP(AE14,MeasureCost!$B$6:$B$80,1,FALSE),"")</f>
        <v>dxAC-Com-Pkg-110to135kBTUh-EER11.0-2Spd</v>
      </c>
      <c r="Z14" s="112" t="s">
        <v>619</v>
      </c>
      <c r="AA14" s="112" t="s">
        <v>635</v>
      </c>
      <c r="AB14" s="112" t="s">
        <v>166</v>
      </c>
      <c r="AC14" s="112" t="s">
        <v>168</v>
      </c>
      <c r="AD14" s="110"/>
      <c r="AE14" s="112" t="s">
        <v>164</v>
      </c>
      <c r="AF14" s="112" t="s">
        <v>167</v>
      </c>
      <c r="AG14" s="112" t="s">
        <v>621</v>
      </c>
      <c r="AH14" s="110"/>
      <c r="AI14" s="112" t="b">
        <v>0</v>
      </c>
      <c r="AJ14" s="112" t="b">
        <v>0</v>
      </c>
      <c r="AK14" s="110"/>
      <c r="AL14" s="112" t="s">
        <v>622</v>
      </c>
      <c r="AM14" s="112" t="s">
        <v>619</v>
      </c>
      <c r="AN14" s="110"/>
      <c r="AO14" s="112" t="s">
        <v>618</v>
      </c>
      <c r="AP14" s="114">
        <v>42005</v>
      </c>
      <c r="AQ14" s="110"/>
      <c r="AR14" s="112" t="s">
        <v>545</v>
      </c>
      <c r="AS14" s="110"/>
      <c r="AT14" s="110"/>
      <c r="AU14" s="110"/>
      <c r="AV14" s="110"/>
      <c r="AW14" s="112" t="s">
        <v>404</v>
      </c>
      <c r="AX14" s="110"/>
      <c r="AY14" s="138">
        <f>VLOOKUP(X14,MeasureCost!$B$6:$Z$97,24,FALSE)</f>
        <v>6.9</v>
      </c>
      <c r="AZ14" s="138">
        <f>VLOOKUP(X14,MeasureCost!$B$6:$Z$97,25,FALSE)</f>
        <v>106</v>
      </c>
      <c r="BA14" s="138">
        <v>10</v>
      </c>
      <c r="BC14" s="97">
        <f>VLOOKUP(X14,MeasureCost!$B$6:$W$97,22,FALSE)</f>
        <v>1664.58</v>
      </c>
      <c r="BD14" s="97">
        <f>VLOOKUP(X14,MeasureCost!$B$6:$W$97,20,FALSE)</f>
        <v>1150.27</v>
      </c>
      <c r="BE14" s="97">
        <f t="shared" si="0"/>
        <v>13167.28</v>
      </c>
      <c r="BF14" s="97">
        <f>VLOOKUP(Y14,MeasureCost!$B$6:$W$97,22,FALSE)</f>
        <v>277.25</v>
      </c>
      <c r="BG14" s="97">
        <f>VLOOKUP(Y14,MeasureCost!$B$6:$W$97,20,FALSE)</f>
        <v>1150.27</v>
      </c>
      <c r="BH14" s="97">
        <f t="shared" si="1"/>
        <v>11779.95</v>
      </c>
      <c r="BI14" s="82">
        <f t="shared" si="2"/>
        <v>138.733</v>
      </c>
      <c r="BJ14" s="110"/>
      <c r="BK14" s="110" t="str">
        <f t="shared" si="3"/>
        <v>NE-HVAC-airAC-SpltPkg-110to134kBtuh-11p5eer</v>
      </c>
    </row>
    <row r="15" spans="1:63">
      <c r="A15" s="112">
        <v>808</v>
      </c>
      <c r="B15" s="112" t="s">
        <v>636</v>
      </c>
      <c r="C15" s="112" t="s">
        <v>170</v>
      </c>
      <c r="D15" s="112" t="s">
        <v>156</v>
      </c>
      <c r="E15" s="112" t="s">
        <v>617</v>
      </c>
      <c r="F15" s="114">
        <v>42198</v>
      </c>
      <c r="G15" s="112" t="s">
        <v>636</v>
      </c>
      <c r="H15" s="112" t="s">
        <v>545</v>
      </c>
      <c r="I15" s="112" t="s">
        <v>404</v>
      </c>
      <c r="J15" s="112" t="s">
        <v>618</v>
      </c>
      <c r="K15" s="110"/>
      <c r="L15" s="110"/>
      <c r="M15" s="112" t="s">
        <v>618</v>
      </c>
      <c r="N15" s="110"/>
      <c r="O15" s="112" t="b">
        <v>0</v>
      </c>
      <c r="P15" s="110"/>
      <c r="Q15" s="112" t="b">
        <v>0</v>
      </c>
      <c r="R15" s="112" t="s">
        <v>116</v>
      </c>
      <c r="S15" s="112" t="s">
        <v>531</v>
      </c>
      <c r="T15" s="112" t="s">
        <v>537</v>
      </c>
      <c r="U15" s="112" t="s">
        <v>538</v>
      </c>
      <c r="V15" s="112" t="s">
        <v>539</v>
      </c>
      <c r="W15" s="112" t="s">
        <v>540</v>
      </c>
      <c r="X15" s="110" t="str">
        <f>IFERROR(VLOOKUP(AF15,MeasureCost!$B$6:$B$80,1,FALSE),"")</f>
        <v>dxAC-Com-Pkg-110to135kBTUh-EER12.0-2Spd</v>
      </c>
      <c r="Y15" s="110" t="str">
        <f>IFERROR(VLOOKUP(AE15,MeasureCost!$B$6:$B$80,1,FALSE),"")</f>
        <v>dxAC-Com-Pkg-110to135kBTUh-EER11.0-2Spd</v>
      </c>
      <c r="Z15" s="112" t="s">
        <v>619</v>
      </c>
      <c r="AA15" s="112" t="s">
        <v>635</v>
      </c>
      <c r="AB15" s="112" t="s">
        <v>166</v>
      </c>
      <c r="AC15" s="112" t="s">
        <v>170</v>
      </c>
      <c r="AD15" s="110"/>
      <c r="AE15" s="112" t="s">
        <v>164</v>
      </c>
      <c r="AF15" s="112" t="s">
        <v>169</v>
      </c>
      <c r="AG15" s="112" t="s">
        <v>621</v>
      </c>
      <c r="AH15" s="110"/>
      <c r="AI15" s="112" t="b">
        <v>0</v>
      </c>
      <c r="AJ15" s="112" t="b">
        <v>0</v>
      </c>
      <c r="AK15" s="110"/>
      <c r="AL15" s="112" t="s">
        <v>622</v>
      </c>
      <c r="AM15" s="112" t="s">
        <v>619</v>
      </c>
      <c r="AN15" s="110"/>
      <c r="AO15" s="112" t="s">
        <v>618</v>
      </c>
      <c r="AP15" s="114">
        <v>42005</v>
      </c>
      <c r="AQ15" s="110"/>
      <c r="AR15" s="112" t="s">
        <v>545</v>
      </c>
      <c r="AS15" s="110"/>
      <c r="AT15" s="110"/>
      <c r="AU15" s="110"/>
      <c r="AV15" s="110"/>
      <c r="AW15" s="112" t="s">
        <v>404</v>
      </c>
      <c r="AX15" s="110"/>
      <c r="AY15" s="138">
        <f>VLOOKUP(X15,MeasureCost!$B$6:$Z$97,24,FALSE)</f>
        <v>6.9</v>
      </c>
      <c r="AZ15" s="138">
        <f>VLOOKUP(X15,MeasureCost!$B$6:$Z$97,25,FALSE)</f>
        <v>106</v>
      </c>
      <c r="BA15" s="138">
        <v>10</v>
      </c>
      <c r="BC15" s="97">
        <f>VLOOKUP(X15,MeasureCost!$B$6:$W$97,22,FALSE)</f>
        <v>3051.92</v>
      </c>
      <c r="BD15" s="97">
        <f>VLOOKUP(X15,MeasureCost!$B$6:$W$97,20,FALSE)</f>
        <v>1150.27</v>
      </c>
      <c r="BE15" s="97">
        <f t="shared" si="0"/>
        <v>14554.62</v>
      </c>
      <c r="BF15" s="97">
        <f>VLOOKUP(Y15,MeasureCost!$B$6:$W$97,22,FALSE)</f>
        <v>277.25</v>
      </c>
      <c r="BG15" s="97">
        <f>VLOOKUP(Y15,MeasureCost!$B$6:$W$97,20,FALSE)</f>
        <v>1150.27</v>
      </c>
      <c r="BH15" s="97">
        <f t="shared" si="1"/>
        <v>11779.95</v>
      </c>
      <c r="BI15" s="82">
        <f t="shared" si="2"/>
        <v>277.46699999999998</v>
      </c>
      <c r="BJ15" s="110"/>
      <c r="BK15" s="110" t="str">
        <f t="shared" si="3"/>
        <v>NE-HVAC-airAC-SpltPkg-110to134kBtuh-12p0eer</v>
      </c>
    </row>
    <row r="16" spans="1:63">
      <c r="A16" s="112">
        <v>809</v>
      </c>
      <c r="B16" s="112" t="s">
        <v>637</v>
      </c>
      <c r="C16" s="112" t="s">
        <v>172</v>
      </c>
      <c r="D16" s="112" t="s">
        <v>156</v>
      </c>
      <c r="E16" s="112" t="s">
        <v>617</v>
      </c>
      <c r="F16" s="114">
        <v>42198</v>
      </c>
      <c r="G16" s="112" t="s">
        <v>637</v>
      </c>
      <c r="H16" s="112" t="s">
        <v>545</v>
      </c>
      <c r="I16" s="112" t="s">
        <v>404</v>
      </c>
      <c r="J16" s="112" t="s">
        <v>618</v>
      </c>
      <c r="K16" s="110"/>
      <c r="L16" s="110"/>
      <c r="M16" s="112" t="s">
        <v>618</v>
      </c>
      <c r="N16" s="110"/>
      <c r="O16" s="112" t="b">
        <v>0</v>
      </c>
      <c r="P16" s="110"/>
      <c r="Q16" s="112" t="b">
        <v>0</v>
      </c>
      <c r="R16" s="112" t="s">
        <v>116</v>
      </c>
      <c r="S16" s="112" t="s">
        <v>531</v>
      </c>
      <c r="T16" s="112" t="s">
        <v>537</v>
      </c>
      <c r="U16" s="112" t="s">
        <v>538</v>
      </c>
      <c r="V16" s="112" t="s">
        <v>539</v>
      </c>
      <c r="W16" s="112" t="s">
        <v>540</v>
      </c>
      <c r="X16" s="110" t="str">
        <f>IFERROR(VLOOKUP(AF16,MeasureCost!$B$6:$B$80,1,FALSE),"")</f>
        <v>dxAC-Com-Pkg-110to135kBTUh-EER12.5-2Spd</v>
      </c>
      <c r="Y16" s="110" t="str">
        <f>IFERROR(VLOOKUP(AE16,MeasureCost!$B$6:$B$80,1,FALSE),"")</f>
        <v>dxAC-Com-Pkg-110to135kBTUh-EER11.0-2Spd</v>
      </c>
      <c r="Z16" s="112" t="s">
        <v>619</v>
      </c>
      <c r="AA16" s="112" t="s">
        <v>635</v>
      </c>
      <c r="AB16" s="112" t="s">
        <v>166</v>
      </c>
      <c r="AC16" s="112" t="s">
        <v>172</v>
      </c>
      <c r="AD16" s="110"/>
      <c r="AE16" s="112" t="s">
        <v>164</v>
      </c>
      <c r="AF16" s="112" t="s">
        <v>171</v>
      </c>
      <c r="AG16" s="112" t="s">
        <v>621</v>
      </c>
      <c r="AH16" s="110"/>
      <c r="AI16" s="112" t="b">
        <v>0</v>
      </c>
      <c r="AJ16" s="112" t="b">
        <v>0</v>
      </c>
      <c r="AK16" s="110"/>
      <c r="AL16" s="112" t="s">
        <v>622</v>
      </c>
      <c r="AM16" s="112" t="s">
        <v>619</v>
      </c>
      <c r="AN16" s="110"/>
      <c r="AO16" s="112" t="s">
        <v>618</v>
      </c>
      <c r="AP16" s="114">
        <v>42005</v>
      </c>
      <c r="AQ16" s="110"/>
      <c r="AR16" s="112" t="s">
        <v>545</v>
      </c>
      <c r="AS16" s="110"/>
      <c r="AT16" s="110"/>
      <c r="AU16" s="110"/>
      <c r="AV16" s="110"/>
      <c r="AW16" s="112" t="s">
        <v>404</v>
      </c>
      <c r="AX16" s="110"/>
      <c r="AY16" s="138">
        <f>VLOOKUP(X16,MeasureCost!$B$6:$Z$97,24,FALSE)</f>
        <v>6.9</v>
      </c>
      <c r="AZ16" s="138">
        <f>VLOOKUP(X16,MeasureCost!$B$6:$Z$97,25,FALSE)</f>
        <v>106</v>
      </c>
      <c r="BA16" s="138">
        <v>10</v>
      </c>
      <c r="BC16" s="97">
        <f>VLOOKUP(X16,MeasureCost!$B$6:$W$97,22,FALSE)</f>
        <v>4439.26</v>
      </c>
      <c r="BD16" s="97">
        <f>VLOOKUP(X16,MeasureCost!$B$6:$W$97,20,FALSE)</f>
        <v>1150.27</v>
      </c>
      <c r="BE16" s="97">
        <f t="shared" si="0"/>
        <v>15941.960000000001</v>
      </c>
      <c r="BF16" s="97">
        <f>VLOOKUP(Y16,MeasureCost!$B$6:$W$97,22,FALSE)</f>
        <v>277.25</v>
      </c>
      <c r="BG16" s="97">
        <f>VLOOKUP(Y16,MeasureCost!$B$6:$W$97,20,FALSE)</f>
        <v>1150.27</v>
      </c>
      <c r="BH16" s="97">
        <f t="shared" si="1"/>
        <v>11779.95</v>
      </c>
      <c r="BI16" s="82">
        <f t="shared" si="2"/>
        <v>416.20100000000002</v>
      </c>
      <c r="BJ16" s="110"/>
      <c r="BK16" s="110" t="str">
        <f t="shared" si="3"/>
        <v>NE-HVAC-airAC-SpltPkg-110to134kBtuh-12p5eer</v>
      </c>
    </row>
    <row r="17" spans="1:63">
      <c r="A17" s="112">
        <v>810</v>
      </c>
      <c r="B17" s="112" t="s">
        <v>638</v>
      </c>
      <c r="C17" s="112" t="s">
        <v>178</v>
      </c>
      <c r="D17" s="112" t="s">
        <v>156</v>
      </c>
      <c r="E17" s="112" t="s">
        <v>617</v>
      </c>
      <c r="F17" s="114">
        <v>42198</v>
      </c>
      <c r="G17" s="112" t="s">
        <v>638</v>
      </c>
      <c r="H17" s="112" t="s">
        <v>545</v>
      </c>
      <c r="I17" s="112" t="s">
        <v>404</v>
      </c>
      <c r="J17" s="112" t="s">
        <v>618</v>
      </c>
      <c r="K17" s="110"/>
      <c r="L17" s="110"/>
      <c r="M17" s="112" t="s">
        <v>618</v>
      </c>
      <c r="N17" s="110"/>
      <c r="O17" s="112" t="b">
        <v>0</v>
      </c>
      <c r="P17" s="110"/>
      <c r="Q17" s="112" t="b">
        <v>0</v>
      </c>
      <c r="R17" s="112" t="s">
        <v>116</v>
      </c>
      <c r="S17" s="112" t="s">
        <v>531</v>
      </c>
      <c r="T17" s="112" t="s">
        <v>537</v>
      </c>
      <c r="U17" s="112" t="s">
        <v>538</v>
      </c>
      <c r="V17" s="112" t="s">
        <v>539</v>
      </c>
      <c r="W17" s="112" t="s">
        <v>540</v>
      </c>
      <c r="X17" s="110" t="str">
        <f>IFERROR(VLOOKUP(AF17,MeasureCost!$B$6:$B$80,1,FALSE),"")</f>
        <v>dxAC-Com-Pkg-135to240kBTUh-EER11.5-2Spd</v>
      </c>
      <c r="Y17" s="110" t="str">
        <f>IFERROR(VLOOKUP(AE17,MeasureCost!$B$6:$B$80,1,FALSE),"")</f>
        <v>dxAC-Com-Pkg-135to240kBTUh-EER10.8-2Spd</v>
      </c>
      <c r="Z17" s="112" t="s">
        <v>619</v>
      </c>
      <c r="AA17" s="112" t="s">
        <v>639</v>
      </c>
      <c r="AB17" s="112" t="s">
        <v>176</v>
      </c>
      <c r="AC17" s="112" t="s">
        <v>178</v>
      </c>
      <c r="AD17" s="110"/>
      <c r="AE17" s="112" t="s">
        <v>175</v>
      </c>
      <c r="AF17" s="112" t="s">
        <v>177</v>
      </c>
      <c r="AG17" s="112" t="s">
        <v>621</v>
      </c>
      <c r="AH17" s="110"/>
      <c r="AI17" s="112" t="b">
        <v>0</v>
      </c>
      <c r="AJ17" s="112" t="b">
        <v>0</v>
      </c>
      <c r="AK17" s="110"/>
      <c r="AL17" s="112" t="s">
        <v>622</v>
      </c>
      <c r="AM17" s="112" t="s">
        <v>619</v>
      </c>
      <c r="AN17" s="110"/>
      <c r="AO17" s="112" t="s">
        <v>618</v>
      </c>
      <c r="AP17" s="114">
        <v>42005</v>
      </c>
      <c r="AQ17" s="110"/>
      <c r="AR17" s="112" t="s">
        <v>545</v>
      </c>
      <c r="AS17" s="110"/>
      <c r="AT17" s="110"/>
      <c r="AU17" s="110"/>
      <c r="AV17" s="110"/>
      <c r="AW17" s="112" t="s">
        <v>404</v>
      </c>
      <c r="AX17" s="110"/>
      <c r="AY17" s="138">
        <f>VLOOKUP(X17,MeasureCost!$B$6:$Z$97,24,FALSE)</f>
        <v>6.9</v>
      </c>
      <c r="AZ17" s="138">
        <f>VLOOKUP(X17,MeasureCost!$B$6:$Z$97,25,FALSE)</f>
        <v>106</v>
      </c>
      <c r="BA17" s="138">
        <v>10</v>
      </c>
      <c r="BC17" s="97">
        <f>VLOOKUP(X17,MeasureCost!$B$6:$W$97,22,FALSE)</f>
        <v>1664.58</v>
      </c>
      <c r="BD17" s="97">
        <f>VLOOKUP(X17,MeasureCost!$B$6:$W$97,20,FALSE)</f>
        <v>1150.27</v>
      </c>
      <c r="BE17" s="97">
        <f t="shared" si="0"/>
        <v>13167.28</v>
      </c>
      <c r="BF17" s="97">
        <f>VLOOKUP(Y17,MeasureCost!$B$6:$W$97,22,FALSE)</f>
        <v>-277.69</v>
      </c>
      <c r="BG17" s="97">
        <f>VLOOKUP(Y17,MeasureCost!$B$6:$W$97,20,FALSE)</f>
        <v>1150.27</v>
      </c>
      <c r="BH17" s="97">
        <f t="shared" si="1"/>
        <v>11225.01</v>
      </c>
      <c r="BI17" s="82">
        <f t="shared" si="2"/>
        <v>194.22700000000003</v>
      </c>
      <c r="BJ17" s="110"/>
      <c r="BK17" s="110" t="str">
        <f t="shared" si="3"/>
        <v>NE-HVAC-airAC-SpltPkg-135to239kBtuh-11p5eer</v>
      </c>
    </row>
    <row r="18" spans="1:63">
      <c r="A18" s="112">
        <v>811</v>
      </c>
      <c r="B18" s="112" t="s">
        <v>640</v>
      </c>
      <c r="C18" s="112" t="s">
        <v>180</v>
      </c>
      <c r="D18" s="112" t="s">
        <v>156</v>
      </c>
      <c r="E18" s="112" t="s">
        <v>617</v>
      </c>
      <c r="F18" s="114">
        <v>42198</v>
      </c>
      <c r="G18" s="112" t="s">
        <v>640</v>
      </c>
      <c r="H18" s="112" t="s">
        <v>545</v>
      </c>
      <c r="I18" s="112" t="s">
        <v>404</v>
      </c>
      <c r="J18" s="112" t="s">
        <v>618</v>
      </c>
      <c r="K18" s="110"/>
      <c r="L18" s="110"/>
      <c r="M18" s="112" t="s">
        <v>618</v>
      </c>
      <c r="N18" s="110"/>
      <c r="O18" s="112" t="b">
        <v>0</v>
      </c>
      <c r="P18" s="110"/>
      <c r="Q18" s="112" t="b">
        <v>0</v>
      </c>
      <c r="R18" s="112" t="s">
        <v>116</v>
      </c>
      <c r="S18" s="112" t="s">
        <v>531</v>
      </c>
      <c r="T18" s="112" t="s">
        <v>537</v>
      </c>
      <c r="U18" s="112" t="s">
        <v>538</v>
      </c>
      <c r="V18" s="112" t="s">
        <v>539</v>
      </c>
      <c r="W18" s="112" t="s">
        <v>540</v>
      </c>
      <c r="X18" s="110" t="str">
        <f>IFERROR(VLOOKUP(AF18,MeasureCost!$B$6:$B$80,1,FALSE),"")</f>
        <v>dxAC-Com-Pkg-135to240kBTUh-EER12.0-2Spd</v>
      </c>
      <c r="Y18" s="110" t="str">
        <f>IFERROR(VLOOKUP(AE18,MeasureCost!$B$6:$B$80,1,FALSE),"")</f>
        <v>dxAC-Com-Pkg-135to240kBTUh-EER10.8-2Spd</v>
      </c>
      <c r="Z18" s="112" t="s">
        <v>619</v>
      </c>
      <c r="AA18" s="112" t="s">
        <v>639</v>
      </c>
      <c r="AB18" s="112" t="s">
        <v>176</v>
      </c>
      <c r="AC18" s="112" t="s">
        <v>180</v>
      </c>
      <c r="AD18" s="110"/>
      <c r="AE18" s="112" t="s">
        <v>175</v>
      </c>
      <c r="AF18" s="112" t="s">
        <v>179</v>
      </c>
      <c r="AG18" s="112" t="s">
        <v>621</v>
      </c>
      <c r="AH18" s="110"/>
      <c r="AI18" s="112" t="b">
        <v>0</v>
      </c>
      <c r="AJ18" s="112" t="b">
        <v>0</v>
      </c>
      <c r="AK18" s="110"/>
      <c r="AL18" s="112" t="s">
        <v>622</v>
      </c>
      <c r="AM18" s="112" t="s">
        <v>619</v>
      </c>
      <c r="AN18" s="110"/>
      <c r="AO18" s="112" t="s">
        <v>618</v>
      </c>
      <c r="AP18" s="114">
        <v>42005</v>
      </c>
      <c r="AQ18" s="110"/>
      <c r="AR18" s="112" t="s">
        <v>545</v>
      </c>
      <c r="AS18" s="110"/>
      <c r="AT18" s="110"/>
      <c r="AU18" s="110"/>
      <c r="AV18" s="110"/>
      <c r="AW18" s="112" t="s">
        <v>404</v>
      </c>
      <c r="AX18" s="110"/>
      <c r="AY18" s="138">
        <f>VLOOKUP(X18,MeasureCost!$B$6:$Z$97,24,FALSE)</f>
        <v>6.9</v>
      </c>
      <c r="AZ18" s="138">
        <f>VLOOKUP(X18,MeasureCost!$B$6:$Z$97,25,FALSE)</f>
        <v>106</v>
      </c>
      <c r="BA18" s="138">
        <v>10</v>
      </c>
      <c r="BC18" s="97">
        <f>VLOOKUP(X18,MeasureCost!$B$6:$W$97,22,FALSE)</f>
        <v>3051.92</v>
      </c>
      <c r="BD18" s="97">
        <f>VLOOKUP(X18,MeasureCost!$B$6:$W$97,20,FALSE)</f>
        <v>1150.27</v>
      </c>
      <c r="BE18" s="97">
        <f t="shared" si="0"/>
        <v>14554.62</v>
      </c>
      <c r="BF18" s="97">
        <f>VLOOKUP(Y18,MeasureCost!$B$6:$W$97,22,FALSE)</f>
        <v>-277.69</v>
      </c>
      <c r="BG18" s="97">
        <f>VLOOKUP(Y18,MeasureCost!$B$6:$W$97,20,FALSE)</f>
        <v>1150.27</v>
      </c>
      <c r="BH18" s="97">
        <f t="shared" si="1"/>
        <v>11225.01</v>
      </c>
      <c r="BI18" s="82">
        <f t="shared" si="2"/>
        <v>332.96100000000007</v>
      </c>
      <c r="BJ18" s="110"/>
      <c r="BK18" s="110" t="str">
        <f t="shared" si="3"/>
        <v>NE-HVAC-airAC-SpltPkg-135to239kBtuh-12p0eer</v>
      </c>
    </row>
    <row r="19" spans="1:63">
      <c r="A19" s="112">
        <v>812</v>
      </c>
      <c r="B19" s="112" t="s">
        <v>641</v>
      </c>
      <c r="C19" s="112" t="s">
        <v>45</v>
      </c>
      <c r="D19" s="112" t="s">
        <v>156</v>
      </c>
      <c r="E19" s="112" t="s">
        <v>617</v>
      </c>
      <c r="F19" s="114">
        <v>42198</v>
      </c>
      <c r="G19" s="112" t="s">
        <v>641</v>
      </c>
      <c r="H19" s="112" t="s">
        <v>545</v>
      </c>
      <c r="I19" s="112" t="s">
        <v>404</v>
      </c>
      <c r="J19" s="112" t="s">
        <v>618</v>
      </c>
      <c r="K19" s="110"/>
      <c r="L19" s="110"/>
      <c r="M19" s="112" t="s">
        <v>618</v>
      </c>
      <c r="N19" s="110"/>
      <c r="O19" s="112" t="b">
        <v>0</v>
      </c>
      <c r="P19" s="110"/>
      <c r="Q19" s="112" t="b">
        <v>0</v>
      </c>
      <c r="R19" s="112" t="s">
        <v>116</v>
      </c>
      <c r="S19" s="112" t="s">
        <v>531</v>
      </c>
      <c r="T19" s="112" t="s">
        <v>537</v>
      </c>
      <c r="U19" s="112" t="s">
        <v>538</v>
      </c>
      <c r="V19" s="112" t="s">
        <v>539</v>
      </c>
      <c r="W19" s="112" t="s">
        <v>540</v>
      </c>
      <c r="X19" s="110" t="str">
        <f>IFERROR(VLOOKUP(AF19,MeasureCost!$B$6:$B$80,1,FALSE),"")</f>
        <v>dxAC-Com-Pkg-135to240kBTUh-EER12.5-2Spd</v>
      </c>
      <c r="Y19" s="110" t="str">
        <f>IFERROR(VLOOKUP(AE19,MeasureCost!$B$6:$B$80,1,FALSE),"")</f>
        <v>dxAC-Com-Pkg-135to240kBTUh-EER10.8-2Spd</v>
      </c>
      <c r="Z19" s="112" t="s">
        <v>619</v>
      </c>
      <c r="AA19" s="112" t="s">
        <v>639</v>
      </c>
      <c r="AB19" s="112" t="s">
        <v>176</v>
      </c>
      <c r="AC19" s="112" t="s">
        <v>45</v>
      </c>
      <c r="AD19" s="110"/>
      <c r="AE19" s="112" t="s">
        <v>175</v>
      </c>
      <c r="AF19" s="112" t="s">
        <v>181</v>
      </c>
      <c r="AG19" s="112" t="s">
        <v>621</v>
      </c>
      <c r="AH19" s="110"/>
      <c r="AI19" s="112" t="b">
        <v>0</v>
      </c>
      <c r="AJ19" s="112" t="b">
        <v>0</v>
      </c>
      <c r="AK19" s="110"/>
      <c r="AL19" s="112" t="s">
        <v>622</v>
      </c>
      <c r="AM19" s="112" t="s">
        <v>619</v>
      </c>
      <c r="AN19" s="110"/>
      <c r="AO19" s="112" t="s">
        <v>618</v>
      </c>
      <c r="AP19" s="114">
        <v>42005</v>
      </c>
      <c r="AQ19" s="110"/>
      <c r="AR19" s="112" t="s">
        <v>545</v>
      </c>
      <c r="AS19" s="110"/>
      <c r="AT19" s="110"/>
      <c r="AU19" s="110"/>
      <c r="AV19" s="110"/>
      <c r="AW19" s="112" t="s">
        <v>404</v>
      </c>
      <c r="AX19" s="110"/>
      <c r="AY19" s="138">
        <f>VLOOKUP(X19,MeasureCost!$B$6:$Z$97,24,FALSE)</f>
        <v>6.9</v>
      </c>
      <c r="AZ19" s="138">
        <f>VLOOKUP(X19,MeasureCost!$B$6:$Z$97,25,FALSE)</f>
        <v>106</v>
      </c>
      <c r="BA19" s="138">
        <v>10</v>
      </c>
      <c r="BC19" s="97">
        <f>VLOOKUP(X19,MeasureCost!$B$6:$W$97,22,FALSE)</f>
        <v>4439.26</v>
      </c>
      <c r="BD19" s="97">
        <f>VLOOKUP(X19,MeasureCost!$B$6:$W$97,20,FALSE)</f>
        <v>1150.27</v>
      </c>
      <c r="BE19" s="97">
        <f t="shared" si="0"/>
        <v>15941.960000000001</v>
      </c>
      <c r="BF19" s="97">
        <f>VLOOKUP(Y19,MeasureCost!$B$6:$W$97,22,FALSE)</f>
        <v>-277.69</v>
      </c>
      <c r="BG19" s="97">
        <f>VLOOKUP(Y19,MeasureCost!$B$6:$W$97,20,FALSE)</f>
        <v>1150.27</v>
      </c>
      <c r="BH19" s="97">
        <f t="shared" si="1"/>
        <v>11225.01</v>
      </c>
      <c r="BI19" s="82">
        <f t="shared" si="2"/>
        <v>471.69500000000005</v>
      </c>
      <c r="BJ19" s="110"/>
      <c r="BK19" s="110" t="str">
        <f t="shared" si="3"/>
        <v>NE-HVAC-airAC-SpltPkg-135to239kBtuh-12p5eer</v>
      </c>
    </row>
    <row r="20" spans="1:63">
      <c r="A20" s="112">
        <v>813</v>
      </c>
      <c r="B20" s="112" t="s">
        <v>642</v>
      </c>
      <c r="C20" s="112" t="s">
        <v>188</v>
      </c>
      <c r="D20" s="112" t="s">
        <v>156</v>
      </c>
      <c r="E20" s="112" t="s">
        <v>617</v>
      </c>
      <c r="F20" s="114">
        <v>42198</v>
      </c>
      <c r="G20" s="112" t="s">
        <v>642</v>
      </c>
      <c r="H20" s="112" t="s">
        <v>545</v>
      </c>
      <c r="I20" s="112" t="s">
        <v>404</v>
      </c>
      <c r="J20" s="112" t="s">
        <v>618</v>
      </c>
      <c r="K20" s="110"/>
      <c r="L20" s="110"/>
      <c r="M20" s="112" t="s">
        <v>618</v>
      </c>
      <c r="N20" s="110"/>
      <c r="O20" s="112" t="b">
        <v>0</v>
      </c>
      <c r="P20" s="110"/>
      <c r="Q20" s="112" t="b">
        <v>0</v>
      </c>
      <c r="R20" s="112" t="s">
        <v>116</v>
      </c>
      <c r="S20" s="112" t="s">
        <v>531</v>
      </c>
      <c r="T20" s="112" t="s">
        <v>537</v>
      </c>
      <c r="U20" s="112" t="s">
        <v>538</v>
      </c>
      <c r="V20" s="112" t="s">
        <v>539</v>
      </c>
      <c r="W20" s="112" t="s">
        <v>540</v>
      </c>
      <c r="X20" s="110" t="str">
        <f>IFERROR(VLOOKUP(AF20,MeasureCost!$B$6:$B$80,1,FALSE),"")</f>
        <v>dxAC-Com-Pkg-240to760kBTUh-EER10.8-2Spd</v>
      </c>
      <c r="Y20" s="110" t="str">
        <f>IFERROR(VLOOKUP(AE20,MeasureCost!$B$6:$B$80,1,FALSE),"")</f>
        <v>dxAC-Com-Pkg-240to760kBTUh-EER9.8-2Spd</v>
      </c>
      <c r="Z20" s="112" t="s">
        <v>619</v>
      </c>
      <c r="AA20" s="112" t="s">
        <v>643</v>
      </c>
      <c r="AB20" s="112" t="s">
        <v>206</v>
      </c>
      <c r="AC20" s="112" t="s">
        <v>188</v>
      </c>
      <c r="AD20" s="110"/>
      <c r="AE20" s="112" t="s">
        <v>205</v>
      </c>
      <c r="AF20" s="112" t="s">
        <v>187</v>
      </c>
      <c r="AG20" s="112" t="s">
        <v>621</v>
      </c>
      <c r="AH20" s="112" t="s">
        <v>644</v>
      </c>
      <c r="AI20" s="112" t="b">
        <v>0</v>
      </c>
      <c r="AJ20" s="112" t="b">
        <v>0</v>
      </c>
      <c r="AK20" s="110"/>
      <c r="AL20" s="112" t="s">
        <v>622</v>
      </c>
      <c r="AM20" s="112" t="s">
        <v>619</v>
      </c>
      <c r="AN20" s="110"/>
      <c r="AO20" s="112" t="s">
        <v>618</v>
      </c>
      <c r="AP20" s="114">
        <v>42005</v>
      </c>
      <c r="AQ20" s="110"/>
      <c r="AR20" s="112" t="s">
        <v>545</v>
      </c>
      <c r="AS20" s="110"/>
      <c r="AT20" s="110"/>
      <c r="AU20" s="110"/>
      <c r="AV20" s="110"/>
      <c r="AW20" s="112" t="s">
        <v>404</v>
      </c>
      <c r="AX20" s="110"/>
      <c r="AY20" s="138">
        <f>VLOOKUP(X20,MeasureCost!$B$6:$Z$97,24,FALSE)</f>
        <v>6.9</v>
      </c>
      <c r="AZ20" s="138">
        <f>VLOOKUP(X20,MeasureCost!$B$6:$Z$97,25,FALSE)</f>
        <v>106</v>
      </c>
      <c r="BA20" s="138">
        <v>10</v>
      </c>
      <c r="BC20" s="97">
        <f>VLOOKUP(X20,MeasureCost!$B$6:$W$97,22,FALSE)</f>
        <v>-277.69</v>
      </c>
      <c r="BD20" s="97">
        <f>VLOOKUP(X20,MeasureCost!$B$6:$W$97,20,FALSE)</f>
        <v>1150.27</v>
      </c>
      <c r="BE20" s="97">
        <f t="shared" si="0"/>
        <v>11225.01</v>
      </c>
      <c r="BF20" s="97">
        <f>VLOOKUP(Y20,MeasureCost!$B$6:$W$97,22,FALSE)</f>
        <v>-3052.36</v>
      </c>
      <c r="BG20" s="97">
        <f>VLOOKUP(Y20,MeasureCost!$B$6:$W$97,20,FALSE)</f>
        <v>1150.27</v>
      </c>
      <c r="BH20" s="97">
        <f t="shared" si="1"/>
        <v>8450.34</v>
      </c>
      <c r="BI20" s="82">
        <f t="shared" si="2"/>
        <v>277.46699999999998</v>
      </c>
      <c r="BJ20" s="110"/>
      <c r="BK20" s="110" t="str">
        <f t="shared" si="3"/>
        <v>NE-HVAC-airAC-SpltPkg-240to759kBtuh-10p8eer</v>
      </c>
    </row>
    <row r="21" spans="1:63">
      <c r="A21" s="112">
        <v>814</v>
      </c>
      <c r="B21" s="112" t="s">
        <v>645</v>
      </c>
      <c r="C21" s="112" t="s">
        <v>192</v>
      </c>
      <c r="D21" s="112" t="s">
        <v>156</v>
      </c>
      <c r="E21" s="112" t="s">
        <v>617</v>
      </c>
      <c r="F21" s="114">
        <v>42198</v>
      </c>
      <c r="G21" s="112" t="s">
        <v>645</v>
      </c>
      <c r="H21" s="112" t="s">
        <v>545</v>
      </c>
      <c r="I21" s="112" t="s">
        <v>404</v>
      </c>
      <c r="J21" s="112" t="s">
        <v>618</v>
      </c>
      <c r="K21" s="110"/>
      <c r="L21" s="110"/>
      <c r="M21" s="112" t="s">
        <v>618</v>
      </c>
      <c r="N21" s="110"/>
      <c r="O21" s="112" t="b">
        <v>0</v>
      </c>
      <c r="P21" s="110"/>
      <c r="Q21" s="112" t="b">
        <v>0</v>
      </c>
      <c r="R21" s="112" t="s">
        <v>116</v>
      </c>
      <c r="S21" s="112" t="s">
        <v>531</v>
      </c>
      <c r="T21" s="112" t="s">
        <v>537</v>
      </c>
      <c r="U21" s="112" t="s">
        <v>538</v>
      </c>
      <c r="V21" s="112" t="s">
        <v>539</v>
      </c>
      <c r="W21" s="112" t="s">
        <v>540</v>
      </c>
      <c r="X21" s="110" t="str">
        <f>IFERROR(VLOOKUP(AF21,MeasureCost!$B$6:$B$80,1,FALSE),"")</f>
        <v>dxAC-Com-Pkg-240to760kBTUh-EER11.5-2Spd</v>
      </c>
      <c r="Y21" s="110" t="str">
        <f>IFERROR(VLOOKUP(AE21,MeasureCost!$B$6:$B$80,1,FALSE),"")</f>
        <v>dxAC-Com-Pkg-240to760kBTUh-EER9.8-2Spd</v>
      </c>
      <c r="Z21" s="112" t="s">
        <v>619</v>
      </c>
      <c r="AA21" s="112" t="s">
        <v>643</v>
      </c>
      <c r="AB21" s="112" t="s">
        <v>206</v>
      </c>
      <c r="AC21" s="112" t="s">
        <v>192</v>
      </c>
      <c r="AD21" s="110"/>
      <c r="AE21" s="112" t="s">
        <v>205</v>
      </c>
      <c r="AF21" s="112" t="s">
        <v>191</v>
      </c>
      <c r="AG21" s="112" t="s">
        <v>621</v>
      </c>
      <c r="AH21" s="112" t="s">
        <v>644</v>
      </c>
      <c r="AI21" s="112" t="b">
        <v>0</v>
      </c>
      <c r="AJ21" s="112" t="b">
        <v>0</v>
      </c>
      <c r="AK21" s="110"/>
      <c r="AL21" s="112" t="s">
        <v>622</v>
      </c>
      <c r="AM21" s="112" t="s">
        <v>619</v>
      </c>
      <c r="AN21" s="110"/>
      <c r="AO21" s="112" t="s">
        <v>618</v>
      </c>
      <c r="AP21" s="114">
        <v>42005</v>
      </c>
      <c r="AQ21" s="110"/>
      <c r="AR21" s="112" t="s">
        <v>545</v>
      </c>
      <c r="AS21" s="110"/>
      <c r="AT21" s="110"/>
      <c r="AU21" s="110"/>
      <c r="AV21" s="110"/>
      <c r="AW21" s="112" t="s">
        <v>404</v>
      </c>
      <c r="AX21" s="110"/>
      <c r="AY21" s="138">
        <f>VLOOKUP(X21,MeasureCost!$B$6:$Z$97,24,FALSE)</f>
        <v>6.9</v>
      </c>
      <c r="AZ21" s="138">
        <f>VLOOKUP(X21,MeasureCost!$B$6:$Z$97,25,FALSE)</f>
        <v>106</v>
      </c>
      <c r="BA21" s="138">
        <v>10</v>
      </c>
      <c r="BC21" s="97">
        <f>VLOOKUP(X21,MeasureCost!$B$6:$W$97,22,FALSE)</f>
        <v>1664.58</v>
      </c>
      <c r="BD21" s="97">
        <f>VLOOKUP(X21,MeasureCost!$B$6:$W$97,20,FALSE)</f>
        <v>1150.27</v>
      </c>
      <c r="BE21" s="97">
        <f t="shared" si="0"/>
        <v>13167.28</v>
      </c>
      <c r="BF21" s="97">
        <f>VLOOKUP(Y21,MeasureCost!$B$6:$W$97,22,FALSE)</f>
        <v>-3052.36</v>
      </c>
      <c r="BG21" s="97">
        <f>VLOOKUP(Y21,MeasureCost!$B$6:$W$97,20,FALSE)</f>
        <v>1150.27</v>
      </c>
      <c r="BH21" s="97">
        <f t="shared" si="1"/>
        <v>8450.34</v>
      </c>
      <c r="BI21" s="82">
        <f t="shared" si="2"/>
        <v>471.69400000000007</v>
      </c>
      <c r="BJ21" s="110"/>
      <c r="BK21" s="110" t="str">
        <f t="shared" si="3"/>
        <v>NE-HVAC-airAC-SpltPkg-240to759kBtuh-11p5eer</v>
      </c>
    </row>
    <row r="22" spans="1:63">
      <c r="A22" s="112">
        <v>815</v>
      </c>
      <c r="B22" s="112" t="s">
        <v>646</v>
      </c>
      <c r="C22" s="112" t="s">
        <v>196</v>
      </c>
      <c r="D22" s="112" t="s">
        <v>156</v>
      </c>
      <c r="E22" s="112" t="s">
        <v>617</v>
      </c>
      <c r="F22" s="114">
        <v>42198</v>
      </c>
      <c r="G22" s="112" t="s">
        <v>646</v>
      </c>
      <c r="H22" s="112" t="s">
        <v>545</v>
      </c>
      <c r="I22" s="112" t="s">
        <v>404</v>
      </c>
      <c r="J22" s="112" t="s">
        <v>618</v>
      </c>
      <c r="K22" s="110"/>
      <c r="L22" s="110"/>
      <c r="M22" s="112" t="s">
        <v>618</v>
      </c>
      <c r="N22" s="110"/>
      <c r="O22" s="112" t="b">
        <v>0</v>
      </c>
      <c r="P22" s="110"/>
      <c r="Q22" s="112" t="b">
        <v>0</v>
      </c>
      <c r="R22" s="112" t="s">
        <v>116</v>
      </c>
      <c r="S22" s="112" t="s">
        <v>531</v>
      </c>
      <c r="T22" s="112" t="s">
        <v>537</v>
      </c>
      <c r="U22" s="112" t="s">
        <v>538</v>
      </c>
      <c r="V22" s="112" t="s">
        <v>539</v>
      </c>
      <c r="W22" s="112" t="s">
        <v>540</v>
      </c>
      <c r="X22" s="110" t="str">
        <f>IFERROR(VLOOKUP(AF22,MeasureCost!$B$6:$B$80,1,FALSE),"")</f>
        <v>dxAC-Com-Pkg-240to760kBTUh-EER12.5-2Spd</v>
      </c>
      <c r="Y22" s="110" t="str">
        <f>IFERROR(VLOOKUP(AE22,MeasureCost!$B$6:$B$80,1,FALSE),"")</f>
        <v>dxAC-Com-Pkg-240to760kBTUh-EER9.8-2Spd</v>
      </c>
      <c r="Z22" s="112" t="s">
        <v>619</v>
      </c>
      <c r="AA22" s="112" t="s">
        <v>643</v>
      </c>
      <c r="AB22" s="112" t="s">
        <v>206</v>
      </c>
      <c r="AC22" s="112" t="s">
        <v>196</v>
      </c>
      <c r="AD22" s="110"/>
      <c r="AE22" s="112" t="s">
        <v>205</v>
      </c>
      <c r="AF22" s="112" t="s">
        <v>195</v>
      </c>
      <c r="AG22" s="112" t="s">
        <v>621</v>
      </c>
      <c r="AH22" s="112" t="s">
        <v>644</v>
      </c>
      <c r="AI22" s="112" t="b">
        <v>0</v>
      </c>
      <c r="AJ22" s="112" t="b">
        <v>0</v>
      </c>
      <c r="AK22" s="110"/>
      <c r="AL22" s="112" t="s">
        <v>622</v>
      </c>
      <c r="AM22" s="112" t="s">
        <v>619</v>
      </c>
      <c r="AN22" s="110"/>
      <c r="AO22" s="112" t="s">
        <v>618</v>
      </c>
      <c r="AP22" s="114">
        <v>42005</v>
      </c>
      <c r="AQ22" s="110"/>
      <c r="AR22" s="112" t="s">
        <v>545</v>
      </c>
      <c r="AS22" s="110"/>
      <c r="AT22" s="110"/>
      <c r="AU22" s="110"/>
      <c r="AV22" s="110"/>
      <c r="AW22" s="112" t="s">
        <v>404</v>
      </c>
      <c r="AX22" s="110"/>
      <c r="AY22" s="138">
        <f>VLOOKUP(X22,MeasureCost!$B$6:$Z$97,24,FALSE)</f>
        <v>6.9</v>
      </c>
      <c r="AZ22" s="138">
        <f>VLOOKUP(X22,MeasureCost!$B$6:$Z$97,25,FALSE)</f>
        <v>106</v>
      </c>
      <c r="BA22" s="138">
        <v>10</v>
      </c>
      <c r="BC22" s="97">
        <f>VLOOKUP(X22,MeasureCost!$B$6:$W$97,22,FALSE)</f>
        <v>4439.26</v>
      </c>
      <c r="BD22" s="97">
        <f>VLOOKUP(X22,MeasureCost!$B$6:$W$97,20,FALSE)</f>
        <v>1150.27</v>
      </c>
      <c r="BE22" s="97">
        <f t="shared" si="0"/>
        <v>15941.960000000001</v>
      </c>
      <c r="BF22" s="97">
        <f>VLOOKUP(Y22,MeasureCost!$B$6:$W$97,22,FALSE)</f>
        <v>-3052.36</v>
      </c>
      <c r="BG22" s="97">
        <f>VLOOKUP(Y22,MeasureCost!$B$6:$W$97,20,FALSE)</f>
        <v>1150.27</v>
      </c>
      <c r="BH22" s="97">
        <f t="shared" si="1"/>
        <v>8450.34</v>
      </c>
      <c r="BI22" s="82">
        <f t="shared" si="2"/>
        <v>749.16200000000003</v>
      </c>
      <c r="BJ22" s="110"/>
      <c r="BK22" s="110" t="str">
        <f t="shared" si="3"/>
        <v>NE-HVAC-airAC-SpltPkg-240to759kBtuh-12p5eer</v>
      </c>
    </row>
    <row r="23" spans="1:63">
      <c r="A23" s="112">
        <v>816</v>
      </c>
      <c r="B23" s="112" t="s">
        <v>647</v>
      </c>
      <c r="C23" s="112" t="s">
        <v>220</v>
      </c>
      <c r="D23" s="112" t="s">
        <v>156</v>
      </c>
      <c r="E23" s="112" t="s">
        <v>617</v>
      </c>
      <c r="F23" s="114">
        <v>42198</v>
      </c>
      <c r="G23" s="112" t="s">
        <v>647</v>
      </c>
      <c r="H23" s="112" t="s">
        <v>545</v>
      </c>
      <c r="I23" s="112" t="s">
        <v>404</v>
      </c>
      <c r="J23" s="112" t="s">
        <v>618</v>
      </c>
      <c r="K23" s="110"/>
      <c r="L23" s="110"/>
      <c r="M23" s="112" t="s">
        <v>618</v>
      </c>
      <c r="N23" s="110"/>
      <c r="O23" s="112" t="b">
        <v>0</v>
      </c>
      <c r="P23" s="110"/>
      <c r="Q23" s="112" t="b">
        <v>0</v>
      </c>
      <c r="R23" s="112" t="s">
        <v>116</v>
      </c>
      <c r="S23" s="112" t="s">
        <v>531</v>
      </c>
      <c r="T23" s="112" t="s">
        <v>537</v>
      </c>
      <c r="U23" s="112" t="s">
        <v>538</v>
      </c>
      <c r="V23" s="112" t="s">
        <v>539</v>
      </c>
      <c r="W23" s="112" t="s">
        <v>540</v>
      </c>
      <c r="X23" s="110" t="str">
        <f>IFERROR(VLOOKUP(AF23,MeasureCost!$B$6:$B$80,1,FALSE),"")</f>
        <v>dxAC-Com-Pkg-gte760kBTUh-EER10.2-2Spd</v>
      </c>
      <c r="Y23" s="110" t="str">
        <f>IFERROR(VLOOKUP(AE23,MeasureCost!$B$6:$B$80,1,FALSE),"")</f>
        <v>dxAC-Com-Pkg-gte760kBTUh-EER9.5-2Spd</v>
      </c>
      <c r="Z23" s="112" t="s">
        <v>619</v>
      </c>
      <c r="AA23" s="112" t="s">
        <v>648</v>
      </c>
      <c r="AB23" s="112" t="s">
        <v>238</v>
      </c>
      <c r="AC23" s="112" t="s">
        <v>220</v>
      </c>
      <c r="AD23" s="110"/>
      <c r="AE23" s="112" t="s">
        <v>237</v>
      </c>
      <c r="AF23" s="112" t="s">
        <v>219</v>
      </c>
      <c r="AG23" s="112" t="s">
        <v>621</v>
      </c>
      <c r="AH23" s="112" t="s">
        <v>644</v>
      </c>
      <c r="AI23" s="112" t="b">
        <v>0</v>
      </c>
      <c r="AJ23" s="112" t="b">
        <v>0</v>
      </c>
      <c r="AK23" s="110"/>
      <c r="AL23" s="112" t="s">
        <v>622</v>
      </c>
      <c r="AM23" s="112" t="s">
        <v>619</v>
      </c>
      <c r="AN23" s="110"/>
      <c r="AO23" s="112" t="s">
        <v>618</v>
      </c>
      <c r="AP23" s="114">
        <v>42005</v>
      </c>
      <c r="AQ23" s="110"/>
      <c r="AR23" s="112" t="s">
        <v>545</v>
      </c>
      <c r="AS23" s="110"/>
      <c r="AT23" s="110"/>
      <c r="AU23" s="110"/>
      <c r="AV23" s="110"/>
      <c r="AW23" s="112" t="s">
        <v>404</v>
      </c>
      <c r="AX23" s="110"/>
      <c r="AY23" s="138">
        <f>VLOOKUP(X23,MeasureCost!$B$6:$Z$97,24,FALSE)</f>
        <v>6.9</v>
      </c>
      <c r="AZ23" s="138">
        <f>VLOOKUP(X23,MeasureCost!$B$6:$Z$97,25,FALSE)</f>
        <v>106</v>
      </c>
      <c r="BA23" s="138">
        <v>10</v>
      </c>
      <c r="BC23" s="97">
        <f>VLOOKUP(X23,MeasureCost!$B$6:$W$97,22,FALSE)</f>
        <v>-1942.49</v>
      </c>
      <c r="BD23" s="97">
        <f>VLOOKUP(X23,MeasureCost!$B$6:$W$97,20,FALSE)</f>
        <v>1150.27</v>
      </c>
      <c r="BE23" s="97">
        <f t="shared" si="0"/>
        <v>9560.2100000000009</v>
      </c>
      <c r="BF23" s="97">
        <f>VLOOKUP(Y23,MeasureCost!$B$6:$W$97,22,FALSE)</f>
        <v>-3884.76</v>
      </c>
      <c r="BG23" s="97">
        <f>VLOOKUP(Y23,MeasureCost!$B$6:$W$97,20,FALSE)</f>
        <v>1150.27</v>
      </c>
      <c r="BH23" s="97">
        <f t="shared" si="1"/>
        <v>7617.9400000000005</v>
      </c>
      <c r="BI23" s="82">
        <f t="shared" si="2"/>
        <v>194.22700000000003</v>
      </c>
      <c r="BJ23" s="110"/>
      <c r="BK23" s="110" t="str">
        <f t="shared" si="3"/>
        <v>NE-HVAC-airAC-SpltPkg-gte760kBtuh-10p2eer</v>
      </c>
    </row>
    <row r="24" spans="1:63">
      <c r="A24" s="112">
        <v>817</v>
      </c>
      <c r="B24" s="112" t="s">
        <v>649</v>
      </c>
      <c r="C24" s="112" t="s">
        <v>224</v>
      </c>
      <c r="D24" s="112" t="s">
        <v>156</v>
      </c>
      <c r="E24" s="112" t="s">
        <v>617</v>
      </c>
      <c r="F24" s="114">
        <v>42198</v>
      </c>
      <c r="G24" s="112" t="s">
        <v>649</v>
      </c>
      <c r="H24" s="112" t="s">
        <v>545</v>
      </c>
      <c r="I24" s="112" t="s">
        <v>404</v>
      </c>
      <c r="J24" s="112" t="s">
        <v>618</v>
      </c>
      <c r="K24" s="110"/>
      <c r="L24" s="110"/>
      <c r="M24" s="112" t="s">
        <v>618</v>
      </c>
      <c r="N24" s="110"/>
      <c r="O24" s="112" t="b">
        <v>0</v>
      </c>
      <c r="P24" s="110"/>
      <c r="Q24" s="112" t="b">
        <v>0</v>
      </c>
      <c r="R24" s="112" t="s">
        <v>116</v>
      </c>
      <c r="S24" s="112" t="s">
        <v>531</v>
      </c>
      <c r="T24" s="112" t="s">
        <v>537</v>
      </c>
      <c r="U24" s="112" t="s">
        <v>538</v>
      </c>
      <c r="V24" s="112" t="s">
        <v>539</v>
      </c>
      <c r="W24" s="112" t="s">
        <v>540</v>
      </c>
      <c r="X24" s="110" t="str">
        <f>IFERROR(VLOOKUP(AF24,MeasureCost!$B$6:$B$80,1,FALSE),"")</f>
        <v>dxAC-Com-Pkg-gte760kBTUh-EER11.0-2Spd</v>
      </c>
      <c r="Y24" s="110" t="str">
        <f>IFERROR(VLOOKUP(AE24,MeasureCost!$B$6:$B$80,1,FALSE),"")</f>
        <v>dxAC-Com-Pkg-gte760kBTUh-EER9.5-2Spd</v>
      </c>
      <c r="Z24" s="112" t="s">
        <v>619</v>
      </c>
      <c r="AA24" s="112" t="s">
        <v>648</v>
      </c>
      <c r="AB24" s="112" t="s">
        <v>238</v>
      </c>
      <c r="AC24" s="112" t="s">
        <v>224</v>
      </c>
      <c r="AD24" s="110"/>
      <c r="AE24" s="112" t="s">
        <v>237</v>
      </c>
      <c r="AF24" s="112" t="s">
        <v>223</v>
      </c>
      <c r="AG24" s="112" t="s">
        <v>621</v>
      </c>
      <c r="AH24" s="112" t="s">
        <v>644</v>
      </c>
      <c r="AI24" s="112" t="b">
        <v>0</v>
      </c>
      <c r="AJ24" s="112" t="b">
        <v>0</v>
      </c>
      <c r="AK24" s="110"/>
      <c r="AL24" s="112" t="s">
        <v>622</v>
      </c>
      <c r="AM24" s="112" t="s">
        <v>619</v>
      </c>
      <c r="AN24" s="110"/>
      <c r="AO24" s="112" t="s">
        <v>618</v>
      </c>
      <c r="AP24" s="114">
        <v>42005</v>
      </c>
      <c r="AQ24" s="110"/>
      <c r="AR24" s="112" t="s">
        <v>545</v>
      </c>
      <c r="AS24" s="110"/>
      <c r="AT24" s="110"/>
      <c r="AU24" s="110"/>
      <c r="AV24" s="110"/>
      <c r="AW24" s="112" t="s">
        <v>404</v>
      </c>
      <c r="AX24" s="110"/>
      <c r="AY24" s="138">
        <f>VLOOKUP(X24,MeasureCost!$B$6:$Z$97,24,FALSE)</f>
        <v>6.9</v>
      </c>
      <c r="AZ24" s="138">
        <f>VLOOKUP(X24,MeasureCost!$B$6:$Z$97,25,FALSE)</f>
        <v>106</v>
      </c>
      <c r="BA24" s="138">
        <v>10</v>
      </c>
      <c r="BC24" s="97">
        <f>VLOOKUP(X24,MeasureCost!$B$6:$W$97,22,FALSE)</f>
        <v>277.25</v>
      </c>
      <c r="BD24" s="97">
        <f>VLOOKUP(X24,MeasureCost!$B$6:$W$97,20,FALSE)</f>
        <v>1150.27</v>
      </c>
      <c r="BE24" s="97">
        <f t="shared" si="0"/>
        <v>11779.95</v>
      </c>
      <c r="BF24" s="97">
        <f>VLOOKUP(Y24,MeasureCost!$B$6:$W$97,22,FALSE)</f>
        <v>-3884.76</v>
      </c>
      <c r="BG24" s="97">
        <f>VLOOKUP(Y24,MeasureCost!$B$6:$W$97,20,FALSE)</f>
        <v>1150.27</v>
      </c>
      <c r="BH24" s="97">
        <f t="shared" si="1"/>
        <v>7617.9400000000005</v>
      </c>
      <c r="BI24" s="82">
        <f t="shared" si="2"/>
        <v>416.20100000000002</v>
      </c>
      <c r="BJ24" s="110"/>
      <c r="BK24" s="110" t="str">
        <f t="shared" si="3"/>
        <v>NE-HVAC-airAC-SpltPkg-gte760kBtuh-11p0eer</v>
      </c>
    </row>
    <row r="25" spans="1:63">
      <c r="A25" s="112">
        <v>818</v>
      </c>
      <c r="B25" s="112" t="s">
        <v>650</v>
      </c>
      <c r="C25" s="112" t="s">
        <v>228</v>
      </c>
      <c r="D25" s="112" t="s">
        <v>156</v>
      </c>
      <c r="E25" s="112" t="s">
        <v>617</v>
      </c>
      <c r="F25" s="114">
        <v>42198</v>
      </c>
      <c r="G25" s="112" t="s">
        <v>650</v>
      </c>
      <c r="H25" s="112" t="s">
        <v>545</v>
      </c>
      <c r="I25" s="112" t="s">
        <v>404</v>
      </c>
      <c r="J25" s="112" t="s">
        <v>618</v>
      </c>
      <c r="K25" s="110"/>
      <c r="L25" s="110"/>
      <c r="M25" s="112" t="s">
        <v>618</v>
      </c>
      <c r="N25" s="110"/>
      <c r="O25" s="112" t="b">
        <v>0</v>
      </c>
      <c r="P25" s="110"/>
      <c r="Q25" s="112" t="b">
        <v>0</v>
      </c>
      <c r="R25" s="112" t="s">
        <v>116</v>
      </c>
      <c r="S25" s="112" t="s">
        <v>531</v>
      </c>
      <c r="T25" s="112" t="s">
        <v>537</v>
      </c>
      <c r="U25" s="112" t="s">
        <v>538</v>
      </c>
      <c r="V25" s="112" t="s">
        <v>539</v>
      </c>
      <c r="W25" s="112" t="s">
        <v>540</v>
      </c>
      <c r="X25" s="110" t="str">
        <f>IFERROR(VLOOKUP(AF25,MeasureCost!$B$6:$B$80,1,FALSE),"")</f>
        <v>dxAC-Com-Pkg-gte760kBTUh-EER12.0-2Spd</v>
      </c>
      <c r="Y25" s="110" t="str">
        <f>IFERROR(VLOOKUP(AE25,MeasureCost!$B$6:$B$80,1,FALSE),"")</f>
        <v>dxAC-Com-Pkg-gte760kBTUh-EER9.5-2Spd</v>
      </c>
      <c r="Z25" s="112" t="s">
        <v>619</v>
      </c>
      <c r="AA25" s="112" t="s">
        <v>648</v>
      </c>
      <c r="AB25" s="112" t="s">
        <v>238</v>
      </c>
      <c r="AC25" s="112" t="s">
        <v>228</v>
      </c>
      <c r="AD25" s="110"/>
      <c r="AE25" s="112" t="s">
        <v>237</v>
      </c>
      <c r="AF25" s="112" t="s">
        <v>227</v>
      </c>
      <c r="AG25" s="112" t="s">
        <v>621</v>
      </c>
      <c r="AH25" s="112" t="s">
        <v>644</v>
      </c>
      <c r="AI25" s="112" t="b">
        <v>0</v>
      </c>
      <c r="AJ25" s="112" t="b">
        <v>0</v>
      </c>
      <c r="AK25" s="110"/>
      <c r="AL25" s="112" t="s">
        <v>622</v>
      </c>
      <c r="AM25" s="112" t="s">
        <v>619</v>
      </c>
      <c r="AN25" s="110"/>
      <c r="AO25" s="112" t="s">
        <v>618</v>
      </c>
      <c r="AP25" s="114">
        <v>42005</v>
      </c>
      <c r="AQ25" s="110"/>
      <c r="AR25" s="112" t="s">
        <v>545</v>
      </c>
      <c r="AS25" s="110"/>
      <c r="AT25" s="110"/>
      <c r="AU25" s="110"/>
      <c r="AV25" s="110"/>
      <c r="AW25" s="112" t="s">
        <v>404</v>
      </c>
      <c r="AX25" s="110"/>
      <c r="AY25" s="138">
        <f>VLOOKUP(X25,MeasureCost!$B$6:$Z$97,24,FALSE)</f>
        <v>6.9</v>
      </c>
      <c r="AZ25" s="138">
        <f>VLOOKUP(X25,MeasureCost!$B$6:$Z$97,25,FALSE)</f>
        <v>106</v>
      </c>
      <c r="BA25" s="138">
        <v>10</v>
      </c>
      <c r="BC25" s="97">
        <f>VLOOKUP(X25,MeasureCost!$B$6:$W$97,22,FALSE)</f>
        <v>3051.92</v>
      </c>
      <c r="BD25" s="97">
        <f>VLOOKUP(X25,MeasureCost!$B$6:$W$97,20,FALSE)</f>
        <v>1150.27</v>
      </c>
      <c r="BE25" s="97">
        <f t="shared" si="0"/>
        <v>14554.62</v>
      </c>
      <c r="BF25" s="97">
        <f>VLOOKUP(Y25,MeasureCost!$B$6:$W$97,22,FALSE)</f>
        <v>-3884.76</v>
      </c>
      <c r="BG25" s="97">
        <f>VLOOKUP(Y25,MeasureCost!$B$6:$W$97,20,FALSE)</f>
        <v>1150.27</v>
      </c>
      <c r="BH25" s="97">
        <f t="shared" si="1"/>
        <v>7617.9400000000005</v>
      </c>
      <c r="BI25" s="82">
        <f t="shared" si="2"/>
        <v>693.66800000000001</v>
      </c>
      <c r="BJ25" s="110"/>
      <c r="BK25" s="110" t="str">
        <f t="shared" si="3"/>
        <v>NE-HVAC-airAC-SpltPkg-gte760kBtuh-12p0eer</v>
      </c>
    </row>
    <row r="26" spans="1:63">
      <c r="A26" s="112">
        <v>819</v>
      </c>
      <c r="B26" s="112" t="s">
        <v>651</v>
      </c>
      <c r="C26" s="112" t="s">
        <v>256</v>
      </c>
      <c r="D26" s="112" t="s">
        <v>156</v>
      </c>
      <c r="E26" s="112" t="s">
        <v>617</v>
      </c>
      <c r="F26" s="114">
        <v>41920</v>
      </c>
      <c r="G26" s="112" t="s">
        <v>651</v>
      </c>
      <c r="H26" s="112" t="s">
        <v>545</v>
      </c>
      <c r="I26" s="112" t="s">
        <v>404</v>
      </c>
      <c r="J26" s="112" t="s">
        <v>618</v>
      </c>
      <c r="K26" s="110"/>
      <c r="L26" s="110"/>
      <c r="M26" s="112" t="s">
        <v>618</v>
      </c>
      <c r="N26" s="110"/>
      <c r="O26" s="112" t="b">
        <v>0</v>
      </c>
      <c r="P26" s="110"/>
      <c r="Q26" s="112" t="b">
        <v>0</v>
      </c>
      <c r="R26" s="112" t="s">
        <v>116</v>
      </c>
      <c r="S26" s="112" t="s">
        <v>531</v>
      </c>
      <c r="T26" s="112" t="s">
        <v>537</v>
      </c>
      <c r="U26" s="112" t="s">
        <v>538</v>
      </c>
      <c r="V26" s="112" t="s">
        <v>539</v>
      </c>
      <c r="W26" s="112" t="s">
        <v>546</v>
      </c>
      <c r="X26" s="110" t="str">
        <f>IFERROR(VLOOKUP(AF26,MeasureCost!$B$6:$B$80,1,FALSE),"")</f>
        <v>dxAC-Com-Pkg-lt55kBTUh-SEER-15.0</v>
      </c>
      <c r="Y26" s="110" t="str">
        <f>IFERROR(VLOOKUP(AE26,MeasureCost!$B$6:$B$80,1,FALSE),"")</f>
        <v>dxAC-Com-Pkg-lt55kBTUh-SEER-14.0</v>
      </c>
      <c r="Z26" s="112" t="s">
        <v>619</v>
      </c>
      <c r="AA26" s="112" t="s">
        <v>652</v>
      </c>
      <c r="AB26" s="112" t="s">
        <v>254</v>
      </c>
      <c r="AC26" s="112" t="s">
        <v>256</v>
      </c>
      <c r="AD26" s="110"/>
      <c r="AE26" s="112" t="s">
        <v>253</v>
      </c>
      <c r="AF26" s="112" t="s">
        <v>255</v>
      </c>
      <c r="AG26" s="112" t="s">
        <v>621</v>
      </c>
      <c r="AH26" s="110"/>
      <c r="AI26" s="112" t="b">
        <v>0</v>
      </c>
      <c r="AJ26" s="112" t="b">
        <v>0</v>
      </c>
      <c r="AK26" s="110"/>
      <c r="AL26" s="112" t="s">
        <v>622</v>
      </c>
      <c r="AM26" s="112" t="s">
        <v>619</v>
      </c>
      <c r="AN26" s="110"/>
      <c r="AO26" s="112" t="s">
        <v>618</v>
      </c>
      <c r="AP26" s="114">
        <v>42005</v>
      </c>
      <c r="AQ26" s="110"/>
      <c r="AR26" s="112" t="s">
        <v>545</v>
      </c>
      <c r="AS26" s="110"/>
      <c r="AT26" s="110"/>
      <c r="AU26" s="110"/>
      <c r="AV26" s="110"/>
      <c r="AW26" s="112" t="s">
        <v>404</v>
      </c>
      <c r="AX26" s="110"/>
      <c r="AY26" s="138">
        <f>VLOOKUP(X26,MeasureCost!$B$6:$Z$97,24,FALSE)</f>
        <v>2</v>
      </c>
      <c r="AZ26" s="138">
        <f>VLOOKUP(X26,MeasureCost!$B$6:$Z$97,25,FALSE)</f>
        <v>5</v>
      </c>
      <c r="BA26" s="138">
        <v>4</v>
      </c>
      <c r="BC26" s="97">
        <f>VLOOKUP(X26,MeasureCost!$B$6:$W$97,22,FALSE)</f>
        <v>2542.0340712500006</v>
      </c>
      <c r="BD26" s="97">
        <f>VLOOKUP(X26,MeasureCost!$B$6:$W$97,20,FALSE)</f>
        <v>388.05</v>
      </c>
      <c r="BE26" s="97">
        <f t="shared" si="0"/>
        <v>4094.2340712500009</v>
      </c>
      <c r="BF26" s="97">
        <f>VLOOKUP(Y26,MeasureCost!$B$6:$W$97,22,FALSE)</f>
        <v>2180.2715712500003</v>
      </c>
      <c r="BG26" s="97">
        <f>VLOOKUP(Y26,MeasureCost!$B$6:$W$97,20,FALSE)</f>
        <v>388.05</v>
      </c>
      <c r="BH26" s="97">
        <f t="shared" si="1"/>
        <v>3732.4715712500001</v>
      </c>
      <c r="BI26" s="82">
        <f t="shared" si="2"/>
        <v>90.440625000000182</v>
      </c>
      <c r="BJ26" s="110"/>
      <c r="BK26" s="110" t="str">
        <f t="shared" si="3"/>
        <v>NE-HVAC-airAC-Pkg-lt55kBtuh-15p0seer</v>
      </c>
    </row>
    <row r="27" spans="1:63">
      <c r="A27" s="112">
        <v>820</v>
      </c>
      <c r="B27" s="112" t="s">
        <v>653</v>
      </c>
      <c r="C27" s="112" t="s">
        <v>258</v>
      </c>
      <c r="D27" s="112" t="s">
        <v>156</v>
      </c>
      <c r="E27" s="112" t="s">
        <v>617</v>
      </c>
      <c r="F27" s="114">
        <v>41920</v>
      </c>
      <c r="G27" s="112" t="s">
        <v>653</v>
      </c>
      <c r="H27" s="112" t="s">
        <v>545</v>
      </c>
      <c r="I27" s="112" t="s">
        <v>404</v>
      </c>
      <c r="J27" s="112" t="s">
        <v>618</v>
      </c>
      <c r="K27" s="110"/>
      <c r="L27" s="110"/>
      <c r="M27" s="112" t="s">
        <v>618</v>
      </c>
      <c r="N27" s="110"/>
      <c r="O27" s="112" t="b">
        <v>0</v>
      </c>
      <c r="P27" s="110"/>
      <c r="Q27" s="112" t="b">
        <v>0</v>
      </c>
      <c r="R27" s="112" t="s">
        <v>116</v>
      </c>
      <c r="S27" s="112" t="s">
        <v>531</v>
      </c>
      <c r="T27" s="112" t="s">
        <v>537</v>
      </c>
      <c r="U27" s="112" t="s">
        <v>538</v>
      </c>
      <c r="V27" s="112" t="s">
        <v>539</v>
      </c>
      <c r="W27" s="112" t="s">
        <v>546</v>
      </c>
      <c r="X27" s="110" t="str">
        <f>IFERROR(VLOOKUP(AF27,MeasureCost!$B$6:$B$80,1,FALSE),"")</f>
        <v>dxAC-Com-Pkg-lt55kBTUh-SEER-16.0</v>
      </c>
      <c r="Y27" s="110" t="str">
        <f>IFERROR(VLOOKUP(AE27,MeasureCost!$B$6:$B$80,1,FALSE),"")</f>
        <v>dxAC-Com-Pkg-lt55kBTUh-SEER-14.0</v>
      </c>
      <c r="Z27" s="112" t="s">
        <v>619</v>
      </c>
      <c r="AA27" s="112" t="s">
        <v>652</v>
      </c>
      <c r="AB27" s="112" t="s">
        <v>254</v>
      </c>
      <c r="AC27" s="112" t="s">
        <v>258</v>
      </c>
      <c r="AD27" s="110"/>
      <c r="AE27" s="112" t="s">
        <v>253</v>
      </c>
      <c r="AF27" s="112" t="s">
        <v>257</v>
      </c>
      <c r="AG27" s="112" t="s">
        <v>621</v>
      </c>
      <c r="AH27" s="110"/>
      <c r="AI27" s="112" t="b">
        <v>0</v>
      </c>
      <c r="AJ27" s="112" t="b">
        <v>0</v>
      </c>
      <c r="AK27" s="110"/>
      <c r="AL27" s="112" t="s">
        <v>622</v>
      </c>
      <c r="AM27" s="112" t="s">
        <v>619</v>
      </c>
      <c r="AN27" s="110"/>
      <c r="AO27" s="112" t="s">
        <v>618</v>
      </c>
      <c r="AP27" s="114">
        <v>42005</v>
      </c>
      <c r="AQ27" s="110"/>
      <c r="AR27" s="112" t="s">
        <v>545</v>
      </c>
      <c r="AS27" s="110"/>
      <c r="AT27" s="110"/>
      <c r="AU27" s="110"/>
      <c r="AV27" s="110"/>
      <c r="AW27" s="112" t="s">
        <v>404</v>
      </c>
      <c r="AX27" s="110"/>
      <c r="AY27" s="138">
        <f>VLOOKUP(X27,MeasureCost!$B$6:$Z$97,24,FALSE)</f>
        <v>2</v>
      </c>
      <c r="AZ27" s="138">
        <f>VLOOKUP(X27,MeasureCost!$B$6:$Z$97,25,FALSE)</f>
        <v>5</v>
      </c>
      <c r="BA27" s="138">
        <v>4</v>
      </c>
      <c r="BC27" s="97">
        <f>VLOOKUP(X27,MeasureCost!$B$6:$W$97,22,FALSE)</f>
        <v>2903.7965712500004</v>
      </c>
      <c r="BD27" s="97">
        <f>VLOOKUP(X27,MeasureCost!$B$6:$W$97,20,FALSE)</f>
        <v>388.05</v>
      </c>
      <c r="BE27" s="97">
        <f t="shared" si="0"/>
        <v>4455.9965712500007</v>
      </c>
      <c r="BF27" s="97">
        <f>VLOOKUP(Y27,MeasureCost!$B$6:$W$97,22,FALSE)</f>
        <v>2180.2715712500003</v>
      </c>
      <c r="BG27" s="97">
        <f>VLOOKUP(Y27,MeasureCost!$B$6:$W$97,20,FALSE)</f>
        <v>388.05</v>
      </c>
      <c r="BH27" s="97">
        <f t="shared" si="1"/>
        <v>3732.4715712500001</v>
      </c>
      <c r="BI27" s="82">
        <f t="shared" si="2"/>
        <v>180.88125000000014</v>
      </c>
      <c r="BJ27" s="110"/>
      <c r="BK27" s="110" t="str">
        <f t="shared" si="3"/>
        <v>NE-HVAC-airAC-Pkg-lt55kBtuh-16p0seer</v>
      </c>
    </row>
    <row r="28" spans="1:63">
      <c r="A28" s="112">
        <v>821</v>
      </c>
      <c r="B28" s="112" t="s">
        <v>654</v>
      </c>
      <c r="C28" s="112" t="s">
        <v>260</v>
      </c>
      <c r="D28" s="112" t="s">
        <v>156</v>
      </c>
      <c r="E28" s="112" t="s">
        <v>617</v>
      </c>
      <c r="F28" s="114">
        <v>41920</v>
      </c>
      <c r="G28" s="112" t="s">
        <v>654</v>
      </c>
      <c r="H28" s="112" t="s">
        <v>545</v>
      </c>
      <c r="I28" s="112" t="s">
        <v>404</v>
      </c>
      <c r="J28" s="112" t="s">
        <v>618</v>
      </c>
      <c r="K28" s="110"/>
      <c r="L28" s="110"/>
      <c r="M28" s="112" t="s">
        <v>618</v>
      </c>
      <c r="N28" s="110"/>
      <c r="O28" s="112" t="b">
        <v>0</v>
      </c>
      <c r="P28" s="110"/>
      <c r="Q28" s="112" t="b">
        <v>0</v>
      </c>
      <c r="R28" s="112" t="s">
        <v>116</v>
      </c>
      <c r="S28" s="112" t="s">
        <v>531</v>
      </c>
      <c r="T28" s="112" t="s">
        <v>537</v>
      </c>
      <c r="U28" s="112" t="s">
        <v>538</v>
      </c>
      <c r="V28" s="112" t="s">
        <v>539</v>
      </c>
      <c r="W28" s="112" t="s">
        <v>546</v>
      </c>
      <c r="X28" s="110" t="str">
        <f>IFERROR(VLOOKUP(AF28,MeasureCost!$B$6:$B$80,1,FALSE),"")</f>
        <v>dxAC-Com-Pkg-lt55kBTUh-SEER-17.0</v>
      </c>
      <c r="Y28" s="110" t="str">
        <f>IFERROR(VLOOKUP(AE28,MeasureCost!$B$6:$B$80,1,FALSE),"")</f>
        <v>dxAC-Com-Pkg-lt55kBTUh-SEER-14.0</v>
      </c>
      <c r="Z28" s="112" t="s">
        <v>619</v>
      </c>
      <c r="AA28" s="112" t="s">
        <v>652</v>
      </c>
      <c r="AB28" s="112" t="s">
        <v>254</v>
      </c>
      <c r="AC28" s="112" t="s">
        <v>260</v>
      </c>
      <c r="AD28" s="110"/>
      <c r="AE28" s="112" t="s">
        <v>253</v>
      </c>
      <c r="AF28" s="112" t="s">
        <v>259</v>
      </c>
      <c r="AG28" s="112" t="s">
        <v>621</v>
      </c>
      <c r="AH28" s="110"/>
      <c r="AI28" s="112" t="b">
        <v>0</v>
      </c>
      <c r="AJ28" s="112" t="b">
        <v>0</v>
      </c>
      <c r="AK28" s="110"/>
      <c r="AL28" s="112" t="s">
        <v>622</v>
      </c>
      <c r="AM28" s="112" t="s">
        <v>619</v>
      </c>
      <c r="AN28" s="110"/>
      <c r="AO28" s="112" t="s">
        <v>618</v>
      </c>
      <c r="AP28" s="114">
        <v>42005</v>
      </c>
      <c r="AQ28" s="110"/>
      <c r="AR28" s="112" t="s">
        <v>545</v>
      </c>
      <c r="AS28" s="110"/>
      <c r="AT28" s="110"/>
      <c r="AU28" s="110"/>
      <c r="AV28" s="110"/>
      <c r="AW28" s="112" t="s">
        <v>404</v>
      </c>
      <c r="AX28" s="110"/>
      <c r="AY28" s="138">
        <f>VLOOKUP(X28,MeasureCost!$B$6:$Z$97,24,FALSE)</f>
        <v>2</v>
      </c>
      <c r="AZ28" s="138">
        <f>VLOOKUP(X28,MeasureCost!$B$6:$Z$97,25,FALSE)</f>
        <v>5</v>
      </c>
      <c r="BA28" s="138">
        <v>4</v>
      </c>
      <c r="BC28" s="97">
        <f>VLOOKUP(X28,MeasureCost!$B$6:$W$97,22,FALSE)</f>
        <v>3265.5590712500002</v>
      </c>
      <c r="BD28" s="97">
        <f>VLOOKUP(X28,MeasureCost!$B$6:$W$97,20,FALSE)</f>
        <v>388.05</v>
      </c>
      <c r="BE28" s="97">
        <f t="shared" si="0"/>
        <v>4817.7590712500005</v>
      </c>
      <c r="BF28" s="97">
        <f>VLOOKUP(Y28,MeasureCost!$B$6:$W$97,22,FALSE)</f>
        <v>2180.2715712500003</v>
      </c>
      <c r="BG28" s="97">
        <f>VLOOKUP(Y28,MeasureCost!$B$6:$W$97,20,FALSE)</f>
        <v>388.05</v>
      </c>
      <c r="BH28" s="97">
        <f t="shared" si="1"/>
        <v>3732.4715712500001</v>
      </c>
      <c r="BI28" s="82">
        <f t="shared" si="2"/>
        <v>271.32187500000009</v>
      </c>
      <c r="BJ28" s="110"/>
      <c r="BK28" s="110" t="str">
        <f t="shared" si="3"/>
        <v>NE-HVAC-airAC-Pkg-lt55kBtuh-17p0seer</v>
      </c>
    </row>
    <row r="29" spans="1:63">
      <c r="A29" s="112">
        <v>822</v>
      </c>
      <c r="B29" s="112" t="s">
        <v>655</v>
      </c>
      <c r="C29" s="112" t="s">
        <v>262</v>
      </c>
      <c r="D29" s="112" t="s">
        <v>156</v>
      </c>
      <c r="E29" s="112" t="s">
        <v>617</v>
      </c>
      <c r="F29" s="114">
        <v>41920</v>
      </c>
      <c r="G29" s="112" t="s">
        <v>655</v>
      </c>
      <c r="H29" s="112" t="s">
        <v>545</v>
      </c>
      <c r="I29" s="112" t="s">
        <v>404</v>
      </c>
      <c r="J29" s="112" t="s">
        <v>618</v>
      </c>
      <c r="K29" s="110"/>
      <c r="L29" s="110"/>
      <c r="M29" s="112" t="s">
        <v>618</v>
      </c>
      <c r="N29" s="110"/>
      <c r="O29" s="112" t="b">
        <v>0</v>
      </c>
      <c r="P29" s="110"/>
      <c r="Q29" s="112" t="b">
        <v>0</v>
      </c>
      <c r="R29" s="112" t="s">
        <v>116</v>
      </c>
      <c r="S29" s="112" t="s">
        <v>531</v>
      </c>
      <c r="T29" s="112" t="s">
        <v>537</v>
      </c>
      <c r="U29" s="112" t="s">
        <v>538</v>
      </c>
      <c r="V29" s="112" t="s">
        <v>539</v>
      </c>
      <c r="W29" s="112" t="s">
        <v>546</v>
      </c>
      <c r="X29" s="110" t="str">
        <f>IFERROR(VLOOKUP(AF29,MeasureCost!$B$6:$B$80,1,FALSE),"")</f>
        <v>dxAC-Com-Pkg-lt55kBTUh-SEER-18.0</v>
      </c>
      <c r="Y29" s="110" t="str">
        <f>IFERROR(VLOOKUP(AE29,MeasureCost!$B$6:$B$80,1,FALSE),"")</f>
        <v>dxAC-Com-Pkg-lt55kBTUh-SEER-14.0</v>
      </c>
      <c r="Z29" s="112" t="s">
        <v>619</v>
      </c>
      <c r="AA29" s="112" t="s">
        <v>652</v>
      </c>
      <c r="AB29" s="112" t="s">
        <v>254</v>
      </c>
      <c r="AC29" s="112" t="s">
        <v>262</v>
      </c>
      <c r="AD29" s="110"/>
      <c r="AE29" s="112" t="s">
        <v>253</v>
      </c>
      <c r="AF29" s="112" t="s">
        <v>261</v>
      </c>
      <c r="AG29" s="112" t="s">
        <v>621</v>
      </c>
      <c r="AH29" s="110"/>
      <c r="AI29" s="112" t="b">
        <v>0</v>
      </c>
      <c r="AJ29" s="112" t="b">
        <v>0</v>
      </c>
      <c r="AK29" s="110"/>
      <c r="AL29" s="112" t="s">
        <v>622</v>
      </c>
      <c r="AM29" s="112" t="s">
        <v>619</v>
      </c>
      <c r="AN29" s="110"/>
      <c r="AO29" s="112" t="s">
        <v>618</v>
      </c>
      <c r="AP29" s="114">
        <v>42005</v>
      </c>
      <c r="AQ29" s="110"/>
      <c r="AR29" s="112" t="s">
        <v>545</v>
      </c>
      <c r="AS29" s="110"/>
      <c r="AT29" s="110"/>
      <c r="AU29" s="110"/>
      <c r="AV29" s="110"/>
      <c r="AW29" s="112" t="s">
        <v>404</v>
      </c>
      <c r="AX29" s="110"/>
      <c r="AY29" s="138">
        <f>VLOOKUP(X29,MeasureCost!$B$6:$Z$97,24,FALSE)</f>
        <v>2</v>
      </c>
      <c r="AZ29" s="138">
        <f>VLOOKUP(X29,MeasureCost!$B$6:$Z$97,25,FALSE)</f>
        <v>5</v>
      </c>
      <c r="BA29" s="138">
        <v>4</v>
      </c>
      <c r="BC29" s="97">
        <f>VLOOKUP(X29,MeasureCost!$B$6:$W$97,22,FALSE)</f>
        <v>3627.32157125</v>
      </c>
      <c r="BD29" s="97">
        <f>VLOOKUP(X29,MeasureCost!$B$6:$W$97,20,FALSE)</f>
        <v>388.05</v>
      </c>
      <c r="BE29" s="97">
        <f t="shared" si="0"/>
        <v>5179.5215712500003</v>
      </c>
      <c r="BF29" s="97">
        <f>VLOOKUP(Y29,MeasureCost!$B$6:$W$97,22,FALSE)</f>
        <v>2180.2715712500003</v>
      </c>
      <c r="BG29" s="97">
        <f>VLOOKUP(Y29,MeasureCost!$B$6:$W$97,20,FALSE)</f>
        <v>388.05</v>
      </c>
      <c r="BH29" s="97">
        <f t="shared" si="1"/>
        <v>3732.4715712500001</v>
      </c>
      <c r="BI29" s="82">
        <f t="shared" si="2"/>
        <v>361.76250000000005</v>
      </c>
      <c r="BJ29" s="110"/>
      <c r="BK29" s="110" t="str">
        <f t="shared" si="3"/>
        <v>NE-HVAC-airAC-Pkg-lt55kBtuh-18p0seer</v>
      </c>
    </row>
    <row r="30" spans="1:63">
      <c r="A30" s="112">
        <v>823</v>
      </c>
      <c r="B30" s="112" t="s">
        <v>656</v>
      </c>
      <c r="C30" s="112" t="s">
        <v>657</v>
      </c>
      <c r="D30" s="112" t="s">
        <v>156</v>
      </c>
      <c r="E30" s="112" t="s">
        <v>617</v>
      </c>
      <c r="F30" s="114">
        <v>41920</v>
      </c>
      <c r="G30" s="112" t="s">
        <v>656</v>
      </c>
      <c r="H30" s="112" t="s">
        <v>545</v>
      </c>
      <c r="I30" s="112" t="s">
        <v>404</v>
      </c>
      <c r="J30" s="112" t="s">
        <v>618</v>
      </c>
      <c r="K30" s="110"/>
      <c r="L30" s="110"/>
      <c r="M30" s="112" t="s">
        <v>618</v>
      </c>
      <c r="N30" s="110"/>
      <c r="O30" s="112" t="b">
        <v>0</v>
      </c>
      <c r="P30" s="110"/>
      <c r="Q30" s="112" t="b">
        <v>0</v>
      </c>
      <c r="R30" s="112" t="s">
        <v>116</v>
      </c>
      <c r="S30" s="112" t="s">
        <v>531</v>
      </c>
      <c r="T30" s="112" t="s">
        <v>537</v>
      </c>
      <c r="U30" s="112" t="s">
        <v>538</v>
      </c>
      <c r="V30" s="112" t="s">
        <v>539</v>
      </c>
      <c r="W30" s="112" t="s">
        <v>546</v>
      </c>
      <c r="X30" s="110" t="str">
        <f>IFERROR(VLOOKUP(AF30,MeasureCost!$B$6:$B$80,1,FALSE),"")</f>
        <v>dxAC-Com-Pkg-55to65kBTUh-SEER-15.0</v>
      </c>
      <c r="Y30" s="110" t="str">
        <f>IFERROR(VLOOKUP(AE30,MeasureCost!$B$6:$B$80,1,FALSE),"")</f>
        <v>dxAC-Com-Pkg-55to65kBTUh-SEER-14.0</v>
      </c>
      <c r="Z30" s="112" t="s">
        <v>619</v>
      </c>
      <c r="AA30" s="112" t="s">
        <v>658</v>
      </c>
      <c r="AB30" s="112" t="s">
        <v>244</v>
      </c>
      <c r="AC30" s="112" t="s">
        <v>246</v>
      </c>
      <c r="AD30" s="110"/>
      <c r="AE30" s="112" t="s">
        <v>243</v>
      </c>
      <c r="AF30" s="112" t="s">
        <v>245</v>
      </c>
      <c r="AG30" s="112" t="s">
        <v>621</v>
      </c>
      <c r="AH30" s="110"/>
      <c r="AI30" s="112" t="b">
        <v>0</v>
      </c>
      <c r="AJ30" s="112" t="b">
        <v>0</v>
      </c>
      <c r="AK30" s="110"/>
      <c r="AL30" s="112" t="s">
        <v>622</v>
      </c>
      <c r="AM30" s="112" t="s">
        <v>619</v>
      </c>
      <c r="AN30" s="110"/>
      <c r="AO30" s="112" t="s">
        <v>618</v>
      </c>
      <c r="AP30" s="114">
        <v>42005</v>
      </c>
      <c r="AQ30" s="110"/>
      <c r="AR30" s="112" t="s">
        <v>545</v>
      </c>
      <c r="AS30" s="110"/>
      <c r="AT30" s="110"/>
      <c r="AU30" s="110"/>
      <c r="AV30" s="110"/>
      <c r="AW30" s="112" t="s">
        <v>404</v>
      </c>
      <c r="AX30" s="110"/>
      <c r="AY30" s="138">
        <f>VLOOKUP(X30,MeasureCost!$B$6:$Z$97,24,FALSE)</f>
        <v>2</v>
      </c>
      <c r="AZ30" s="138">
        <f>VLOOKUP(X30,MeasureCost!$B$6:$Z$97,25,FALSE)</f>
        <v>5</v>
      </c>
      <c r="BA30" s="138">
        <v>4</v>
      </c>
      <c r="BC30" s="97">
        <f>VLOOKUP(X30,MeasureCost!$B$6:$W$97,22,FALSE)</f>
        <v>2542.0340712500006</v>
      </c>
      <c r="BD30" s="97">
        <f>VLOOKUP(X30,MeasureCost!$B$6:$W$97,20,FALSE)</f>
        <v>388.05</v>
      </c>
      <c r="BE30" s="97">
        <f t="shared" si="0"/>
        <v>4094.2340712500009</v>
      </c>
      <c r="BF30" s="97">
        <f>VLOOKUP(Y30,MeasureCost!$B$6:$W$97,22,FALSE)</f>
        <v>2180.2715712500003</v>
      </c>
      <c r="BG30" s="97">
        <f>VLOOKUP(Y30,MeasureCost!$B$6:$W$97,20,FALSE)</f>
        <v>388.05</v>
      </c>
      <c r="BH30" s="97">
        <f t="shared" si="1"/>
        <v>3732.4715712500001</v>
      </c>
      <c r="BI30" s="82">
        <f t="shared" si="2"/>
        <v>90.440625000000182</v>
      </c>
      <c r="BJ30" s="110"/>
      <c r="BK30" s="110" t="str">
        <f t="shared" si="3"/>
        <v>NE-HVAC-airAC-Pkg-55to65kBtuh-15p0seer</v>
      </c>
    </row>
    <row r="31" spans="1:63">
      <c r="A31" s="112">
        <v>824</v>
      </c>
      <c r="B31" s="112" t="s">
        <v>659</v>
      </c>
      <c r="C31" s="112" t="s">
        <v>660</v>
      </c>
      <c r="D31" s="112" t="s">
        <v>156</v>
      </c>
      <c r="E31" s="112" t="s">
        <v>617</v>
      </c>
      <c r="F31" s="114">
        <v>41920</v>
      </c>
      <c r="G31" s="112" t="s">
        <v>659</v>
      </c>
      <c r="H31" s="112" t="s">
        <v>545</v>
      </c>
      <c r="I31" s="112" t="s">
        <v>404</v>
      </c>
      <c r="J31" s="112" t="s">
        <v>618</v>
      </c>
      <c r="K31" s="110"/>
      <c r="L31" s="110"/>
      <c r="M31" s="112" t="s">
        <v>618</v>
      </c>
      <c r="N31" s="110"/>
      <c r="O31" s="112" t="b">
        <v>0</v>
      </c>
      <c r="P31" s="110"/>
      <c r="Q31" s="112" t="b">
        <v>0</v>
      </c>
      <c r="R31" s="112" t="s">
        <v>116</v>
      </c>
      <c r="S31" s="112" t="s">
        <v>531</v>
      </c>
      <c r="T31" s="112" t="s">
        <v>537</v>
      </c>
      <c r="U31" s="112" t="s">
        <v>538</v>
      </c>
      <c r="V31" s="112" t="s">
        <v>539</v>
      </c>
      <c r="W31" s="112" t="s">
        <v>546</v>
      </c>
      <c r="X31" s="110" t="str">
        <f>IFERROR(VLOOKUP(AF31,MeasureCost!$B$6:$B$80,1,FALSE),"")</f>
        <v>dxAC-Com-Pkg-55to65kBTUh-SEER-16.0</v>
      </c>
      <c r="Y31" s="110" t="str">
        <f>IFERROR(VLOOKUP(AE31,MeasureCost!$B$6:$B$80,1,FALSE),"")</f>
        <v>dxAC-Com-Pkg-55to65kBTUh-SEER-14.0</v>
      </c>
      <c r="Z31" s="112" t="s">
        <v>619</v>
      </c>
      <c r="AA31" s="112" t="s">
        <v>658</v>
      </c>
      <c r="AB31" s="112" t="s">
        <v>244</v>
      </c>
      <c r="AC31" s="112" t="s">
        <v>248</v>
      </c>
      <c r="AD31" s="110"/>
      <c r="AE31" s="112" t="s">
        <v>243</v>
      </c>
      <c r="AF31" s="112" t="s">
        <v>247</v>
      </c>
      <c r="AG31" s="112" t="s">
        <v>621</v>
      </c>
      <c r="AH31" s="110"/>
      <c r="AI31" s="112" t="b">
        <v>0</v>
      </c>
      <c r="AJ31" s="112" t="b">
        <v>0</v>
      </c>
      <c r="AK31" s="110"/>
      <c r="AL31" s="112" t="s">
        <v>622</v>
      </c>
      <c r="AM31" s="112" t="s">
        <v>619</v>
      </c>
      <c r="AN31" s="110"/>
      <c r="AO31" s="112" t="s">
        <v>618</v>
      </c>
      <c r="AP31" s="114">
        <v>42005</v>
      </c>
      <c r="AQ31" s="110"/>
      <c r="AR31" s="112" t="s">
        <v>545</v>
      </c>
      <c r="AS31" s="110"/>
      <c r="AT31" s="110"/>
      <c r="AU31" s="110"/>
      <c r="AV31" s="110"/>
      <c r="AW31" s="112" t="s">
        <v>404</v>
      </c>
      <c r="AX31" s="110"/>
      <c r="AY31" s="138">
        <f>VLOOKUP(X31,MeasureCost!$B$6:$Z$97,24,FALSE)</f>
        <v>2</v>
      </c>
      <c r="AZ31" s="138">
        <f>VLOOKUP(X31,MeasureCost!$B$6:$Z$97,25,FALSE)</f>
        <v>5</v>
      </c>
      <c r="BA31" s="138">
        <v>4</v>
      </c>
      <c r="BC31" s="97">
        <f>VLOOKUP(X31,MeasureCost!$B$6:$W$97,22,FALSE)</f>
        <v>2903.7965712500004</v>
      </c>
      <c r="BD31" s="97">
        <f>VLOOKUP(X31,MeasureCost!$B$6:$W$97,20,FALSE)</f>
        <v>388.05</v>
      </c>
      <c r="BE31" s="97">
        <f t="shared" si="0"/>
        <v>4455.9965712500007</v>
      </c>
      <c r="BF31" s="97">
        <f>VLOOKUP(Y31,MeasureCost!$B$6:$W$97,22,FALSE)</f>
        <v>2180.2715712500003</v>
      </c>
      <c r="BG31" s="97">
        <f>VLOOKUP(Y31,MeasureCost!$B$6:$W$97,20,FALSE)</f>
        <v>388.05</v>
      </c>
      <c r="BH31" s="97">
        <f t="shared" si="1"/>
        <v>3732.4715712500001</v>
      </c>
      <c r="BI31" s="82">
        <f t="shared" si="2"/>
        <v>180.88125000000014</v>
      </c>
      <c r="BJ31" s="110"/>
      <c r="BK31" s="110" t="str">
        <f t="shared" si="3"/>
        <v>NE-HVAC-airAC-Pkg-55to65kBtuh-16p0seer</v>
      </c>
    </row>
    <row r="32" spans="1:63">
      <c r="A32" s="112">
        <v>825</v>
      </c>
      <c r="B32" s="112" t="s">
        <v>661</v>
      </c>
      <c r="C32" s="112" t="s">
        <v>662</v>
      </c>
      <c r="D32" s="112" t="s">
        <v>156</v>
      </c>
      <c r="E32" s="112" t="s">
        <v>617</v>
      </c>
      <c r="F32" s="114">
        <v>41920</v>
      </c>
      <c r="G32" s="112" t="s">
        <v>661</v>
      </c>
      <c r="H32" s="112" t="s">
        <v>545</v>
      </c>
      <c r="I32" s="112" t="s">
        <v>404</v>
      </c>
      <c r="J32" s="112" t="s">
        <v>618</v>
      </c>
      <c r="K32" s="110"/>
      <c r="L32" s="110"/>
      <c r="M32" s="112" t="s">
        <v>618</v>
      </c>
      <c r="N32" s="110"/>
      <c r="O32" s="112" t="b">
        <v>0</v>
      </c>
      <c r="P32" s="110"/>
      <c r="Q32" s="112" t="b">
        <v>0</v>
      </c>
      <c r="R32" s="112" t="s">
        <v>116</v>
      </c>
      <c r="S32" s="112" t="s">
        <v>531</v>
      </c>
      <c r="T32" s="112" t="s">
        <v>537</v>
      </c>
      <c r="U32" s="112" t="s">
        <v>538</v>
      </c>
      <c r="V32" s="112" t="s">
        <v>539</v>
      </c>
      <c r="W32" s="112" t="s">
        <v>546</v>
      </c>
      <c r="X32" s="110" t="str">
        <f>IFERROR(VLOOKUP(AF32,MeasureCost!$B$6:$B$80,1,FALSE),"")</f>
        <v>dxAC-Com-Pkg-55to65kBTUh-SEER-17.0</v>
      </c>
      <c r="Y32" s="110" t="str">
        <f>IFERROR(VLOOKUP(AE32,MeasureCost!$B$6:$B$80,1,FALSE),"")</f>
        <v>dxAC-Com-Pkg-55to65kBTUh-SEER-14.0</v>
      </c>
      <c r="Z32" s="112" t="s">
        <v>619</v>
      </c>
      <c r="AA32" s="112" t="s">
        <v>658</v>
      </c>
      <c r="AB32" s="112" t="s">
        <v>244</v>
      </c>
      <c r="AC32" s="112" t="s">
        <v>250</v>
      </c>
      <c r="AD32" s="110"/>
      <c r="AE32" s="112" t="s">
        <v>243</v>
      </c>
      <c r="AF32" s="112" t="s">
        <v>249</v>
      </c>
      <c r="AG32" s="112" t="s">
        <v>621</v>
      </c>
      <c r="AH32" s="110"/>
      <c r="AI32" s="112" t="b">
        <v>0</v>
      </c>
      <c r="AJ32" s="112" t="b">
        <v>0</v>
      </c>
      <c r="AK32" s="110"/>
      <c r="AL32" s="112" t="s">
        <v>622</v>
      </c>
      <c r="AM32" s="112" t="s">
        <v>619</v>
      </c>
      <c r="AN32" s="110"/>
      <c r="AO32" s="112" t="s">
        <v>618</v>
      </c>
      <c r="AP32" s="114">
        <v>42005</v>
      </c>
      <c r="AQ32" s="110"/>
      <c r="AR32" s="112" t="s">
        <v>545</v>
      </c>
      <c r="AS32" s="110"/>
      <c r="AT32" s="110"/>
      <c r="AU32" s="110"/>
      <c r="AV32" s="110"/>
      <c r="AW32" s="112" t="s">
        <v>404</v>
      </c>
      <c r="AX32" s="110"/>
      <c r="AY32" s="138">
        <f>VLOOKUP(X32,MeasureCost!$B$6:$Z$97,24,FALSE)</f>
        <v>2</v>
      </c>
      <c r="AZ32" s="138">
        <f>VLOOKUP(X32,MeasureCost!$B$6:$Z$97,25,FALSE)</f>
        <v>5</v>
      </c>
      <c r="BA32" s="138">
        <v>4</v>
      </c>
      <c r="BC32" s="97">
        <f>VLOOKUP(X32,MeasureCost!$B$6:$W$97,22,FALSE)</f>
        <v>3265.5590712500002</v>
      </c>
      <c r="BD32" s="97">
        <f>VLOOKUP(X32,MeasureCost!$B$6:$W$97,20,FALSE)</f>
        <v>388.05</v>
      </c>
      <c r="BE32" s="97">
        <f t="shared" si="0"/>
        <v>4817.7590712500005</v>
      </c>
      <c r="BF32" s="97">
        <f>VLOOKUP(Y32,MeasureCost!$B$6:$W$97,22,FALSE)</f>
        <v>2180.2715712500003</v>
      </c>
      <c r="BG32" s="97">
        <f>VLOOKUP(Y32,MeasureCost!$B$6:$W$97,20,FALSE)</f>
        <v>388.05</v>
      </c>
      <c r="BH32" s="97">
        <f t="shared" si="1"/>
        <v>3732.4715712500001</v>
      </c>
      <c r="BI32" s="82">
        <f t="shared" si="2"/>
        <v>271.32187500000009</v>
      </c>
      <c r="BJ32" s="110"/>
      <c r="BK32" s="110" t="str">
        <f t="shared" si="3"/>
        <v>NE-HVAC-airAC-Pkg-55to65kBtuh-17p0seer</v>
      </c>
    </row>
    <row r="33" spans="1:63">
      <c r="A33" s="112">
        <v>826</v>
      </c>
      <c r="B33" s="112" t="s">
        <v>663</v>
      </c>
      <c r="C33" s="112" t="s">
        <v>664</v>
      </c>
      <c r="D33" s="112" t="s">
        <v>156</v>
      </c>
      <c r="E33" s="112" t="s">
        <v>617</v>
      </c>
      <c r="F33" s="114">
        <v>41920</v>
      </c>
      <c r="G33" s="112" t="s">
        <v>663</v>
      </c>
      <c r="H33" s="112" t="s">
        <v>545</v>
      </c>
      <c r="I33" s="112" t="s">
        <v>404</v>
      </c>
      <c r="J33" s="112" t="s">
        <v>618</v>
      </c>
      <c r="K33" s="110"/>
      <c r="L33" s="110"/>
      <c r="M33" s="112" t="s">
        <v>618</v>
      </c>
      <c r="N33" s="110"/>
      <c r="O33" s="112" t="b">
        <v>0</v>
      </c>
      <c r="P33" s="110"/>
      <c r="Q33" s="112" t="b">
        <v>0</v>
      </c>
      <c r="R33" s="112" t="s">
        <v>116</v>
      </c>
      <c r="S33" s="112" t="s">
        <v>531</v>
      </c>
      <c r="T33" s="112" t="s">
        <v>537</v>
      </c>
      <c r="U33" s="112" t="s">
        <v>538</v>
      </c>
      <c r="V33" s="112" t="s">
        <v>539</v>
      </c>
      <c r="W33" s="112" t="s">
        <v>546</v>
      </c>
      <c r="X33" s="110" t="str">
        <f>IFERROR(VLOOKUP(AF33,MeasureCost!$B$6:$B$80,1,FALSE),"")</f>
        <v>dxAC-Com-Pkg-55to65kBTUh-SEER-18.0</v>
      </c>
      <c r="Y33" s="110" t="str">
        <f>IFERROR(VLOOKUP(AE33,MeasureCost!$B$6:$B$80,1,FALSE),"")</f>
        <v>dxAC-Com-Pkg-55to65kBTUh-SEER-14.0</v>
      </c>
      <c r="Z33" s="112" t="s">
        <v>619</v>
      </c>
      <c r="AA33" s="112" t="s">
        <v>658</v>
      </c>
      <c r="AB33" s="112" t="s">
        <v>244</v>
      </c>
      <c r="AC33" s="112" t="s">
        <v>252</v>
      </c>
      <c r="AD33" s="110"/>
      <c r="AE33" s="112" t="s">
        <v>243</v>
      </c>
      <c r="AF33" s="112" t="s">
        <v>251</v>
      </c>
      <c r="AG33" s="112" t="s">
        <v>621</v>
      </c>
      <c r="AH33" s="110"/>
      <c r="AI33" s="112" t="b">
        <v>0</v>
      </c>
      <c r="AJ33" s="112" t="b">
        <v>0</v>
      </c>
      <c r="AK33" s="110"/>
      <c r="AL33" s="112" t="s">
        <v>622</v>
      </c>
      <c r="AM33" s="112" t="s">
        <v>619</v>
      </c>
      <c r="AN33" s="110"/>
      <c r="AO33" s="112" t="s">
        <v>618</v>
      </c>
      <c r="AP33" s="114">
        <v>42005</v>
      </c>
      <c r="AQ33" s="110"/>
      <c r="AR33" s="112" t="s">
        <v>545</v>
      </c>
      <c r="AS33" s="110"/>
      <c r="AT33" s="110"/>
      <c r="AU33" s="110"/>
      <c r="AV33" s="110"/>
      <c r="AW33" s="112" t="s">
        <v>404</v>
      </c>
      <c r="AX33" s="110"/>
      <c r="AY33" s="138">
        <f>VLOOKUP(X33,MeasureCost!$B$6:$Z$97,24,FALSE)</f>
        <v>2</v>
      </c>
      <c r="AZ33" s="138">
        <f>VLOOKUP(X33,MeasureCost!$B$6:$Z$97,25,FALSE)</f>
        <v>5</v>
      </c>
      <c r="BA33" s="138">
        <v>4</v>
      </c>
      <c r="BC33" s="97">
        <f>VLOOKUP(X33,MeasureCost!$B$6:$W$97,22,FALSE)</f>
        <v>3627.32157125</v>
      </c>
      <c r="BD33" s="97">
        <f>VLOOKUP(X33,MeasureCost!$B$6:$W$97,20,FALSE)</f>
        <v>388.05</v>
      </c>
      <c r="BE33" s="97">
        <f t="shared" si="0"/>
        <v>5179.5215712500003</v>
      </c>
      <c r="BF33" s="97">
        <f>VLOOKUP(Y33,MeasureCost!$B$6:$W$97,22,FALSE)</f>
        <v>2180.2715712500003</v>
      </c>
      <c r="BG33" s="97">
        <f>VLOOKUP(Y33,MeasureCost!$B$6:$W$97,20,FALSE)</f>
        <v>388.05</v>
      </c>
      <c r="BH33" s="97">
        <f t="shared" si="1"/>
        <v>3732.4715712500001</v>
      </c>
      <c r="BI33" s="82">
        <f t="shared" si="2"/>
        <v>361.76250000000005</v>
      </c>
      <c r="BJ33" s="110"/>
      <c r="BK33" s="110" t="str">
        <f t="shared" si="3"/>
        <v>NE-HVAC-airAC-Pkg-55to65kBtuh-18p0seer</v>
      </c>
    </row>
    <row r="34" spans="1:63">
      <c r="A34" s="112">
        <v>827</v>
      </c>
      <c r="B34" s="112" t="s">
        <v>665</v>
      </c>
      <c r="C34" s="112" t="s">
        <v>666</v>
      </c>
      <c r="D34" s="112" t="s">
        <v>156</v>
      </c>
      <c r="E34" s="112" t="s">
        <v>617</v>
      </c>
      <c r="F34" s="114">
        <v>41927</v>
      </c>
      <c r="G34" s="112" t="s">
        <v>665</v>
      </c>
      <c r="H34" s="112" t="s">
        <v>545</v>
      </c>
      <c r="I34" s="112" t="s">
        <v>404</v>
      </c>
      <c r="J34" s="112" t="s">
        <v>618</v>
      </c>
      <c r="K34" s="110"/>
      <c r="L34" s="110"/>
      <c r="M34" s="112" t="s">
        <v>618</v>
      </c>
      <c r="N34" s="110"/>
      <c r="O34" s="112" t="b">
        <v>0</v>
      </c>
      <c r="P34" s="110"/>
      <c r="Q34" s="112" t="b">
        <v>0</v>
      </c>
      <c r="R34" s="112" t="s">
        <v>116</v>
      </c>
      <c r="S34" s="112" t="s">
        <v>531</v>
      </c>
      <c r="T34" s="112" t="s">
        <v>537</v>
      </c>
      <c r="U34" s="112" t="s">
        <v>538</v>
      </c>
      <c r="V34" s="112" t="s">
        <v>539</v>
      </c>
      <c r="W34" s="112" t="s">
        <v>546</v>
      </c>
      <c r="X34" s="110" t="str">
        <f>IFERROR(VLOOKUP(AF34,MeasureCost!$B$6:$B$80,1,FALSE),"")</f>
        <v>dxAC-Com-Pkg-55to65kBTUh-SEER-15.0</v>
      </c>
      <c r="Y34" s="110" t="str">
        <f>IFERROR(VLOOKUP(AE34,MeasureCost!$B$6:$B$80,1,FALSE),"")</f>
        <v>dxAC-Com-Pkg-55to65kBTUh-SEER-14.0</v>
      </c>
      <c r="Z34" s="112" t="s">
        <v>619</v>
      </c>
      <c r="AA34" s="112" t="s">
        <v>667</v>
      </c>
      <c r="AB34" s="112" t="s">
        <v>244</v>
      </c>
      <c r="AC34" s="112" t="s">
        <v>246</v>
      </c>
      <c r="AD34" s="110"/>
      <c r="AE34" s="112" t="s">
        <v>243</v>
      </c>
      <c r="AF34" s="112" t="s">
        <v>245</v>
      </c>
      <c r="AG34" s="112" t="s">
        <v>621</v>
      </c>
      <c r="AH34" s="110"/>
      <c r="AI34" s="112" t="b">
        <v>0</v>
      </c>
      <c r="AJ34" s="112" t="b">
        <v>0</v>
      </c>
      <c r="AK34" s="110"/>
      <c r="AL34" s="112" t="s">
        <v>622</v>
      </c>
      <c r="AM34" s="112" t="s">
        <v>619</v>
      </c>
      <c r="AN34" s="110"/>
      <c r="AO34" s="112" t="s">
        <v>618</v>
      </c>
      <c r="AP34" s="114">
        <v>42005</v>
      </c>
      <c r="AQ34" s="110"/>
      <c r="AR34" s="112" t="s">
        <v>545</v>
      </c>
      <c r="AS34" s="110"/>
      <c r="AT34" s="110"/>
      <c r="AU34" s="110"/>
      <c r="AV34" s="110"/>
      <c r="AW34" s="112" t="s">
        <v>404</v>
      </c>
      <c r="AX34" s="110"/>
      <c r="AY34" s="138">
        <f>VLOOKUP(X34,MeasureCost!$B$6:$Z$97,24,FALSE)</f>
        <v>2</v>
      </c>
      <c r="AZ34" s="138">
        <f>VLOOKUP(X34,MeasureCost!$B$6:$Z$97,25,FALSE)</f>
        <v>5</v>
      </c>
      <c r="BA34" s="138">
        <v>4</v>
      </c>
      <c r="BC34" s="97">
        <f>VLOOKUP(X34,MeasureCost!$B$6:$W$97,22,FALSE)</f>
        <v>2542.0340712500006</v>
      </c>
      <c r="BD34" s="97">
        <f>VLOOKUP(X34,MeasureCost!$B$6:$W$97,20,FALSE)</f>
        <v>388.05</v>
      </c>
      <c r="BE34" s="97">
        <f t="shared" si="0"/>
        <v>4094.2340712500009</v>
      </c>
      <c r="BF34" s="97">
        <f>VLOOKUP(Y34,MeasureCost!$B$6:$W$97,22,FALSE)</f>
        <v>2180.2715712500003</v>
      </c>
      <c r="BG34" s="97">
        <f>VLOOKUP(Y34,MeasureCost!$B$6:$W$97,20,FALSE)</f>
        <v>388.05</v>
      </c>
      <c r="BH34" s="97">
        <f t="shared" si="1"/>
        <v>3732.4715712500001</v>
      </c>
      <c r="BI34" s="82">
        <f t="shared" si="2"/>
        <v>90.440625000000182</v>
      </c>
      <c r="BJ34" s="110"/>
      <c r="BK34" s="110" t="str">
        <f t="shared" si="3"/>
        <v>NE-HVAC-airAC-Pkg-55to65kBtuh-15p0seer-wPreEcono</v>
      </c>
    </row>
    <row r="35" spans="1:63">
      <c r="A35" s="112">
        <v>828</v>
      </c>
      <c r="B35" s="112" t="s">
        <v>668</v>
      </c>
      <c r="C35" s="112" t="s">
        <v>669</v>
      </c>
      <c r="D35" s="112" t="s">
        <v>156</v>
      </c>
      <c r="E35" s="112" t="s">
        <v>617</v>
      </c>
      <c r="F35" s="114">
        <v>41927</v>
      </c>
      <c r="G35" s="112" t="s">
        <v>668</v>
      </c>
      <c r="H35" s="112" t="s">
        <v>545</v>
      </c>
      <c r="I35" s="112" t="s">
        <v>404</v>
      </c>
      <c r="J35" s="112" t="s">
        <v>618</v>
      </c>
      <c r="K35" s="110"/>
      <c r="L35" s="110"/>
      <c r="M35" s="112" t="s">
        <v>618</v>
      </c>
      <c r="N35" s="110"/>
      <c r="O35" s="112" t="b">
        <v>0</v>
      </c>
      <c r="P35" s="110"/>
      <c r="Q35" s="112" t="b">
        <v>0</v>
      </c>
      <c r="R35" s="112" t="s">
        <v>116</v>
      </c>
      <c r="S35" s="112" t="s">
        <v>531</v>
      </c>
      <c r="T35" s="112" t="s">
        <v>537</v>
      </c>
      <c r="U35" s="112" t="s">
        <v>538</v>
      </c>
      <c r="V35" s="112" t="s">
        <v>539</v>
      </c>
      <c r="W35" s="112" t="s">
        <v>546</v>
      </c>
      <c r="X35" s="110" t="str">
        <f>IFERROR(VLOOKUP(AF35,MeasureCost!$B$6:$B$80,1,FALSE),"")</f>
        <v>dxAC-Com-Pkg-55to65kBTUh-SEER-16.0</v>
      </c>
      <c r="Y35" s="110" t="str">
        <f>IFERROR(VLOOKUP(AE35,MeasureCost!$B$6:$B$80,1,FALSE),"")</f>
        <v>dxAC-Com-Pkg-55to65kBTUh-SEER-14.0</v>
      </c>
      <c r="Z35" s="112" t="s">
        <v>619</v>
      </c>
      <c r="AA35" s="112" t="s">
        <v>667</v>
      </c>
      <c r="AB35" s="112" t="s">
        <v>244</v>
      </c>
      <c r="AC35" s="112" t="s">
        <v>248</v>
      </c>
      <c r="AD35" s="110"/>
      <c r="AE35" s="112" t="s">
        <v>243</v>
      </c>
      <c r="AF35" s="112" t="s">
        <v>247</v>
      </c>
      <c r="AG35" s="112" t="s">
        <v>621</v>
      </c>
      <c r="AH35" s="110"/>
      <c r="AI35" s="112" t="b">
        <v>0</v>
      </c>
      <c r="AJ35" s="112" t="b">
        <v>0</v>
      </c>
      <c r="AK35" s="110"/>
      <c r="AL35" s="112" t="s">
        <v>622</v>
      </c>
      <c r="AM35" s="112" t="s">
        <v>619</v>
      </c>
      <c r="AN35" s="110"/>
      <c r="AO35" s="112" t="s">
        <v>618</v>
      </c>
      <c r="AP35" s="114">
        <v>42005</v>
      </c>
      <c r="AQ35" s="110"/>
      <c r="AR35" s="112" t="s">
        <v>545</v>
      </c>
      <c r="AS35" s="110"/>
      <c r="AT35" s="110"/>
      <c r="AU35" s="110"/>
      <c r="AV35" s="110"/>
      <c r="AW35" s="112" t="s">
        <v>404</v>
      </c>
      <c r="AX35" s="110"/>
      <c r="AY35" s="138">
        <f>VLOOKUP(X35,MeasureCost!$B$6:$Z$97,24,FALSE)</f>
        <v>2</v>
      </c>
      <c r="AZ35" s="138">
        <f>VLOOKUP(X35,MeasureCost!$B$6:$Z$97,25,FALSE)</f>
        <v>5</v>
      </c>
      <c r="BA35" s="138">
        <v>4</v>
      </c>
      <c r="BC35" s="97">
        <f>VLOOKUP(X35,MeasureCost!$B$6:$W$97,22,FALSE)</f>
        <v>2903.7965712500004</v>
      </c>
      <c r="BD35" s="97">
        <f>VLOOKUP(X35,MeasureCost!$B$6:$W$97,20,FALSE)</f>
        <v>388.05</v>
      </c>
      <c r="BE35" s="97">
        <f t="shared" si="0"/>
        <v>4455.9965712500007</v>
      </c>
      <c r="BF35" s="97">
        <f>VLOOKUP(Y35,MeasureCost!$B$6:$W$97,22,FALSE)</f>
        <v>2180.2715712500003</v>
      </c>
      <c r="BG35" s="97">
        <f>VLOOKUP(Y35,MeasureCost!$B$6:$W$97,20,FALSE)</f>
        <v>388.05</v>
      </c>
      <c r="BH35" s="97">
        <f t="shared" si="1"/>
        <v>3732.4715712500001</v>
      </c>
      <c r="BI35" s="82">
        <f t="shared" si="2"/>
        <v>180.88125000000014</v>
      </c>
      <c r="BJ35" s="110"/>
      <c r="BK35" s="110" t="str">
        <f t="shared" si="3"/>
        <v>NE-HVAC-airAC-Pkg-55to65kBtuh-16p0seer-wPreEcono</v>
      </c>
    </row>
    <row r="36" spans="1:63">
      <c r="A36" s="112">
        <v>829</v>
      </c>
      <c r="B36" s="112" t="s">
        <v>670</v>
      </c>
      <c r="C36" s="112" t="s">
        <v>671</v>
      </c>
      <c r="D36" s="112" t="s">
        <v>156</v>
      </c>
      <c r="E36" s="112" t="s">
        <v>617</v>
      </c>
      <c r="F36" s="114">
        <v>41927</v>
      </c>
      <c r="G36" s="112" t="s">
        <v>670</v>
      </c>
      <c r="H36" s="112" t="s">
        <v>545</v>
      </c>
      <c r="I36" s="112" t="s">
        <v>404</v>
      </c>
      <c r="J36" s="112" t="s">
        <v>618</v>
      </c>
      <c r="K36" s="110"/>
      <c r="L36" s="110"/>
      <c r="M36" s="112" t="s">
        <v>618</v>
      </c>
      <c r="N36" s="110"/>
      <c r="O36" s="112" t="b">
        <v>0</v>
      </c>
      <c r="P36" s="110"/>
      <c r="Q36" s="112" t="b">
        <v>0</v>
      </c>
      <c r="R36" s="112" t="s">
        <v>116</v>
      </c>
      <c r="S36" s="112" t="s">
        <v>531</v>
      </c>
      <c r="T36" s="112" t="s">
        <v>537</v>
      </c>
      <c r="U36" s="112" t="s">
        <v>538</v>
      </c>
      <c r="V36" s="112" t="s">
        <v>539</v>
      </c>
      <c r="W36" s="112" t="s">
        <v>546</v>
      </c>
      <c r="X36" s="110" t="str">
        <f>IFERROR(VLOOKUP(AF36,MeasureCost!$B$6:$B$80,1,FALSE),"")</f>
        <v>dxAC-Com-Pkg-55to65kBTUh-SEER-17.0</v>
      </c>
      <c r="Y36" s="110" t="str">
        <f>IFERROR(VLOOKUP(AE36,MeasureCost!$B$6:$B$80,1,FALSE),"")</f>
        <v>dxAC-Com-Pkg-55to65kBTUh-SEER-14.0</v>
      </c>
      <c r="Z36" s="112" t="s">
        <v>619</v>
      </c>
      <c r="AA36" s="112" t="s">
        <v>667</v>
      </c>
      <c r="AB36" s="112" t="s">
        <v>244</v>
      </c>
      <c r="AC36" s="112" t="s">
        <v>250</v>
      </c>
      <c r="AD36" s="110"/>
      <c r="AE36" s="112" t="s">
        <v>243</v>
      </c>
      <c r="AF36" s="112" t="s">
        <v>249</v>
      </c>
      <c r="AG36" s="112" t="s">
        <v>621</v>
      </c>
      <c r="AH36" s="110"/>
      <c r="AI36" s="112" t="b">
        <v>0</v>
      </c>
      <c r="AJ36" s="112" t="b">
        <v>0</v>
      </c>
      <c r="AK36" s="110"/>
      <c r="AL36" s="112" t="s">
        <v>622</v>
      </c>
      <c r="AM36" s="112" t="s">
        <v>619</v>
      </c>
      <c r="AN36" s="110"/>
      <c r="AO36" s="112" t="s">
        <v>618</v>
      </c>
      <c r="AP36" s="114">
        <v>42005</v>
      </c>
      <c r="AQ36" s="110"/>
      <c r="AR36" s="112" t="s">
        <v>545</v>
      </c>
      <c r="AS36" s="110"/>
      <c r="AT36" s="110"/>
      <c r="AU36" s="110"/>
      <c r="AV36" s="110"/>
      <c r="AW36" s="112" t="s">
        <v>404</v>
      </c>
      <c r="AX36" s="110"/>
      <c r="AY36" s="138">
        <f>VLOOKUP(X36,MeasureCost!$B$6:$Z$97,24,FALSE)</f>
        <v>2</v>
      </c>
      <c r="AZ36" s="138">
        <f>VLOOKUP(X36,MeasureCost!$B$6:$Z$97,25,FALSE)</f>
        <v>5</v>
      </c>
      <c r="BA36" s="138">
        <v>4</v>
      </c>
      <c r="BC36" s="97">
        <f>VLOOKUP(X36,MeasureCost!$B$6:$W$97,22,FALSE)</f>
        <v>3265.5590712500002</v>
      </c>
      <c r="BD36" s="97">
        <f>VLOOKUP(X36,MeasureCost!$B$6:$W$97,20,FALSE)</f>
        <v>388.05</v>
      </c>
      <c r="BE36" s="97">
        <f t="shared" si="0"/>
        <v>4817.7590712500005</v>
      </c>
      <c r="BF36" s="97">
        <f>VLOOKUP(Y36,MeasureCost!$B$6:$W$97,22,FALSE)</f>
        <v>2180.2715712500003</v>
      </c>
      <c r="BG36" s="97">
        <f>VLOOKUP(Y36,MeasureCost!$B$6:$W$97,20,FALSE)</f>
        <v>388.05</v>
      </c>
      <c r="BH36" s="97">
        <f t="shared" si="1"/>
        <v>3732.4715712500001</v>
      </c>
      <c r="BI36" s="82">
        <f t="shared" si="2"/>
        <v>271.32187500000009</v>
      </c>
      <c r="BJ36" s="110"/>
      <c r="BK36" s="110" t="str">
        <f t="shared" si="3"/>
        <v>NE-HVAC-airAC-Pkg-55to65kBtuh-17p0seer-wPreEcono</v>
      </c>
    </row>
    <row r="37" spans="1:63">
      <c r="A37" s="112">
        <v>830</v>
      </c>
      <c r="B37" s="112" t="s">
        <v>672</v>
      </c>
      <c r="C37" s="112" t="s">
        <v>673</v>
      </c>
      <c r="D37" s="112" t="s">
        <v>156</v>
      </c>
      <c r="E37" s="112" t="s">
        <v>617</v>
      </c>
      <c r="F37" s="114">
        <v>41927</v>
      </c>
      <c r="G37" s="112" t="s">
        <v>672</v>
      </c>
      <c r="H37" s="112" t="s">
        <v>545</v>
      </c>
      <c r="I37" s="112" t="s">
        <v>404</v>
      </c>
      <c r="J37" s="112" t="s">
        <v>618</v>
      </c>
      <c r="K37" s="110"/>
      <c r="L37" s="110"/>
      <c r="M37" s="112" t="s">
        <v>618</v>
      </c>
      <c r="N37" s="110"/>
      <c r="O37" s="112" t="b">
        <v>0</v>
      </c>
      <c r="P37" s="110"/>
      <c r="Q37" s="112" t="b">
        <v>0</v>
      </c>
      <c r="R37" s="112" t="s">
        <v>116</v>
      </c>
      <c r="S37" s="112" t="s">
        <v>531</v>
      </c>
      <c r="T37" s="112" t="s">
        <v>537</v>
      </c>
      <c r="U37" s="112" t="s">
        <v>538</v>
      </c>
      <c r="V37" s="112" t="s">
        <v>539</v>
      </c>
      <c r="W37" s="112" t="s">
        <v>546</v>
      </c>
      <c r="X37" s="110" t="str">
        <f>IFERROR(VLOOKUP(AF37,MeasureCost!$B$6:$B$80,1,FALSE),"")</f>
        <v>dxAC-Com-Pkg-55to65kBTUh-SEER-18.0</v>
      </c>
      <c r="Y37" s="110" t="str">
        <f>IFERROR(VLOOKUP(AE37,MeasureCost!$B$6:$B$80,1,FALSE),"")</f>
        <v>dxAC-Com-Pkg-55to65kBTUh-SEER-14.0</v>
      </c>
      <c r="Z37" s="112" t="s">
        <v>619</v>
      </c>
      <c r="AA37" s="112" t="s">
        <v>667</v>
      </c>
      <c r="AB37" s="112" t="s">
        <v>244</v>
      </c>
      <c r="AC37" s="112" t="s">
        <v>252</v>
      </c>
      <c r="AD37" s="110"/>
      <c r="AE37" s="112" t="s">
        <v>243</v>
      </c>
      <c r="AF37" s="112" t="s">
        <v>251</v>
      </c>
      <c r="AG37" s="112" t="s">
        <v>621</v>
      </c>
      <c r="AH37" s="110"/>
      <c r="AI37" s="112" t="b">
        <v>0</v>
      </c>
      <c r="AJ37" s="112" t="b">
        <v>0</v>
      </c>
      <c r="AK37" s="110"/>
      <c r="AL37" s="112" t="s">
        <v>622</v>
      </c>
      <c r="AM37" s="112" t="s">
        <v>619</v>
      </c>
      <c r="AN37" s="110"/>
      <c r="AO37" s="112" t="s">
        <v>618</v>
      </c>
      <c r="AP37" s="114">
        <v>42005</v>
      </c>
      <c r="AQ37" s="110"/>
      <c r="AR37" s="112" t="s">
        <v>545</v>
      </c>
      <c r="AS37" s="110"/>
      <c r="AT37" s="110"/>
      <c r="AU37" s="110"/>
      <c r="AV37" s="110"/>
      <c r="AW37" s="112" t="s">
        <v>404</v>
      </c>
      <c r="AX37" s="110"/>
      <c r="AY37" s="138">
        <f>VLOOKUP(X37,MeasureCost!$B$6:$Z$97,24,FALSE)</f>
        <v>2</v>
      </c>
      <c r="AZ37" s="138">
        <f>VLOOKUP(X37,MeasureCost!$B$6:$Z$97,25,FALSE)</f>
        <v>5</v>
      </c>
      <c r="BA37" s="138">
        <v>4</v>
      </c>
      <c r="BC37" s="97">
        <f>VLOOKUP(X37,MeasureCost!$B$6:$W$97,22,FALSE)</f>
        <v>3627.32157125</v>
      </c>
      <c r="BD37" s="97">
        <f>VLOOKUP(X37,MeasureCost!$B$6:$W$97,20,FALSE)</f>
        <v>388.05</v>
      </c>
      <c r="BE37" s="97">
        <f t="shared" si="0"/>
        <v>5179.5215712500003</v>
      </c>
      <c r="BF37" s="97">
        <f>VLOOKUP(Y37,MeasureCost!$B$6:$W$97,22,FALSE)</f>
        <v>2180.2715712500003</v>
      </c>
      <c r="BG37" s="97">
        <f>VLOOKUP(Y37,MeasureCost!$B$6:$W$97,20,FALSE)</f>
        <v>388.05</v>
      </c>
      <c r="BH37" s="97">
        <f t="shared" si="1"/>
        <v>3732.4715712500001</v>
      </c>
      <c r="BI37" s="82">
        <f t="shared" si="2"/>
        <v>361.76250000000005</v>
      </c>
      <c r="BJ37" s="110"/>
      <c r="BK37" s="110" t="str">
        <f t="shared" si="3"/>
        <v>NE-HVAC-airAC-Pkg-55to65kBtuh-18p0seer-wPreEcono</v>
      </c>
    </row>
    <row r="38" spans="1:63">
      <c r="A38" s="112">
        <v>831</v>
      </c>
      <c r="B38" s="112" t="s">
        <v>674</v>
      </c>
      <c r="C38" s="112" t="s">
        <v>290</v>
      </c>
      <c r="D38" s="112" t="s">
        <v>156</v>
      </c>
      <c r="E38" s="112" t="s">
        <v>617</v>
      </c>
      <c r="F38" s="114">
        <v>41920</v>
      </c>
      <c r="G38" s="112" t="s">
        <v>674</v>
      </c>
      <c r="H38" s="112" t="s">
        <v>545</v>
      </c>
      <c r="I38" s="112" t="s">
        <v>404</v>
      </c>
      <c r="J38" s="112" t="s">
        <v>618</v>
      </c>
      <c r="K38" s="110"/>
      <c r="L38" s="110"/>
      <c r="M38" s="112" t="s">
        <v>618</v>
      </c>
      <c r="N38" s="110"/>
      <c r="O38" s="112" t="b">
        <v>0</v>
      </c>
      <c r="P38" s="110"/>
      <c r="Q38" s="112" t="b">
        <v>0</v>
      </c>
      <c r="R38" s="112" t="s">
        <v>116</v>
      </c>
      <c r="S38" s="112" t="s">
        <v>531</v>
      </c>
      <c r="T38" s="112" t="s">
        <v>537</v>
      </c>
      <c r="U38" s="112" t="s">
        <v>538</v>
      </c>
      <c r="V38" s="112" t="s">
        <v>539</v>
      </c>
      <c r="W38" s="112" t="s">
        <v>547</v>
      </c>
      <c r="X38" s="110" t="str">
        <f>IFERROR(VLOOKUP(AF38,MeasureCost!$B$6:$B$80,1,FALSE),"")</f>
        <v>dxAC-Com-Split-lt45kBTUh-SEER-15.0</v>
      </c>
      <c r="Y38" s="110" t="str">
        <f>IFERROR(VLOOKUP(AE38,MeasureCost!$B$6:$B$80,1,FALSE),"")</f>
        <v>dxAC-Com-Split-lt45kBTUh-SEER-14.0</v>
      </c>
      <c r="Z38" s="112" t="s">
        <v>619</v>
      </c>
      <c r="AA38" s="112" t="s">
        <v>675</v>
      </c>
      <c r="AB38" s="112" t="s">
        <v>288</v>
      </c>
      <c r="AC38" s="112" t="s">
        <v>290</v>
      </c>
      <c r="AD38" s="110"/>
      <c r="AE38" s="112" t="s">
        <v>287</v>
      </c>
      <c r="AF38" s="112" t="s">
        <v>289</v>
      </c>
      <c r="AG38" s="112" t="s">
        <v>621</v>
      </c>
      <c r="AH38" s="110"/>
      <c r="AI38" s="112" t="b">
        <v>0</v>
      </c>
      <c r="AJ38" s="112" t="b">
        <v>0</v>
      </c>
      <c r="AK38" s="110"/>
      <c r="AL38" s="112" t="s">
        <v>622</v>
      </c>
      <c r="AM38" s="112" t="s">
        <v>619</v>
      </c>
      <c r="AN38" s="110"/>
      <c r="AO38" s="112" t="s">
        <v>618</v>
      </c>
      <c r="AP38" s="114">
        <v>42005</v>
      </c>
      <c r="AQ38" s="110"/>
      <c r="AR38" s="112" t="s">
        <v>545</v>
      </c>
      <c r="AS38" s="110"/>
      <c r="AT38" s="110"/>
      <c r="AU38" s="110"/>
      <c r="AV38" s="110"/>
      <c r="AW38" s="112" t="s">
        <v>404</v>
      </c>
      <c r="AX38" s="110"/>
      <c r="AY38" s="138">
        <f>VLOOKUP(X38,MeasureCost!$B$6:$Z$97,24,FALSE)</f>
        <v>1.4</v>
      </c>
      <c r="AZ38" s="138">
        <f>VLOOKUP(X38,MeasureCost!$B$6:$Z$97,25,FALSE)</f>
        <v>5</v>
      </c>
      <c r="BA38" s="138">
        <v>3</v>
      </c>
      <c r="BC38" s="97">
        <f>VLOOKUP(X38,MeasureCost!$B$6:$W$97,22,FALSE)</f>
        <v>827.72279999999967</v>
      </c>
      <c r="BD38" s="97">
        <f>VLOOKUP(X38,MeasureCost!$B$6:$W$97,20,FALSE)</f>
        <v>331.21440000000001</v>
      </c>
      <c r="BE38" s="97">
        <f t="shared" si="0"/>
        <v>1821.3659999999995</v>
      </c>
      <c r="BF38" s="97">
        <f>VLOOKUP(Y38,MeasureCost!$B$6:$W$97,22,FALSE)</f>
        <v>551.33880000000011</v>
      </c>
      <c r="BG38" s="97">
        <f>VLOOKUP(Y38,MeasureCost!$B$6:$W$97,20,FALSE)</f>
        <v>331.21440000000001</v>
      </c>
      <c r="BH38" s="97">
        <f t="shared" si="1"/>
        <v>1544.982</v>
      </c>
      <c r="BI38" s="82">
        <f t="shared" si="2"/>
        <v>92.127999999999858</v>
      </c>
      <c r="BJ38" s="110"/>
      <c r="BK38" s="110" t="str">
        <f t="shared" si="3"/>
        <v>NE-HVAC-airAC-Split-lt45kBtuh-15p0seer</v>
      </c>
    </row>
    <row r="39" spans="1:63">
      <c r="A39" s="112">
        <v>832</v>
      </c>
      <c r="B39" s="112" t="s">
        <v>676</v>
      </c>
      <c r="C39" s="112" t="s">
        <v>292</v>
      </c>
      <c r="D39" s="112" t="s">
        <v>156</v>
      </c>
      <c r="E39" s="112" t="s">
        <v>617</v>
      </c>
      <c r="F39" s="114">
        <v>41920</v>
      </c>
      <c r="G39" s="112" t="s">
        <v>676</v>
      </c>
      <c r="H39" s="112" t="s">
        <v>545</v>
      </c>
      <c r="I39" s="112" t="s">
        <v>404</v>
      </c>
      <c r="J39" s="112" t="s">
        <v>618</v>
      </c>
      <c r="K39" s="110"/>
      <c r="L39" s="110"/>
      <c r="M39" s="112" t="s">
        <v>618</v>
      </c>
      <c r="N39" s="110"/>
      <c r="O39" s="112" t="b">
        <v>0</v>
      </c>
      <c r="P39" s="110"/>
      <c r="Q39" s="112" t="b">
        <v>0</v>
      </c>
      <c r="R39" s="112" t="s">
        <v>116</v>
      </c>
      <c r="S39" s="112" t="s">
        <v>531</v>
      </c>
      <c r="T39" s="112" t="s">
        <v>537</v>
      </c>
      <c r="U39" s="112" t="s">
        <v>538</v>
      </c>
      <c r="V39" s="112" t="s">
        <v>539</v>
      </c>
      <c r="W39" s="112" t="s">
        <v>547</v>
      </c>
      <c r="X39" s="110" t="str">
        <f>IFERROR(VLOOKUP(AF39,MeasureCost!$B$6:$B$80,1,FALSE),"")</f>
        <v>dxAC-Com-Split-lt45kBTUh-SEER-16.0</v>
      </c>
      <c r="Y39" s="110" t="str">
        <f>IFERROR(VLOOKUP(AE39,MeasureCost!$B$6:$B$80,1,FALSE),"")</f>
        <v>dxAC-Com-Split-lt45kBTUh-SEER-14.0</v>
      </c>
      <c r="Z39" s="112" t="s">
        <v>619</v>
      </c>
      <c r="AA39" s="112" t="s">
        <v>675</v>
      </c>
      <c r="AB39" s="112" t="s">
        <v>288</v>
      </c>
      <c r="AC39" s="112" t="s">
        <v>292</v>
      </c>
      <c r="AD39" s="110"/>
      <c r="AE39" s="112" t="s">
        <v>287</v>
      </c>
      <c r="AF39" s="112" t="s">
        <v>291</v>
      </c>
      <c r="AG39" s="112" t="s">
        <v>621</v>
      </c>
      <c r="AH39" s="110"/>
      <c r="AI39" s="112" t="b">
        <v>0</v>
      </c>
      <c r="AJ39" s="112" t="b">
        <v>0</v>
      </c>
      <c r="AK39" s="110"/>
      <c r="AL39" s="112" t="s">
        <v>622</v>
      </c>
      <c r="AM39" s="112" t="s">
        <v>619</v>
      </c>
      <c r="AN39" s="110"/>
      <c r="AO39" s="112" t="s">
        <v>618</v>
      </c>
      <c r="AP39" s="114">
        <v>42005</v>
      </c>
      <c r="AQ39" s="110"/>
      <c r="AR39" s="112" t="s">
        <v>545</v>
      </c>
      <c r="AS39" s="110"/>
      <c r="AT39" s="110"/>
      <c r="AU39" s="110"/>
      <c r="AV39" s="110"/>
      <c r="AW39" s="112" t="s">
        <v>404</v>
      </c>
      <c r="AX39" s="110"/>
      <c r="AY39" s="138">
        <f>VLOOKUP(X39,MeasureCost!$B$6:$Z$97,24,FALSE)</f>
        <v>1.4</v>
      </c>
      <c r="AZ39" s="138">
        <f>VLOOKUP(X39,MeasureCost!$B$6:$Z$97,25,FALSE)</f>
        <v>5</v>
      </c>
      <c r="BA39" s="138">
        <v>3</v>
      </c>
      <c r="BC39" s="97">
        <f>VLOOKUP(X39,MeasureCost!$B$6:$W$97,22,FALSE)</f>
        <v>1104.1067999999998</v>
      </c>
      <c r="BD39" s="97">
        <f>VLOOKUP(X39,MeasureCost!$B$6:$W$97,20,FALSE)</f>
        <v>331.21440000000001</v>
      </c>
      <c r="BE39" s="97">
        <f t="shared" si="0"/>
        <v>2097.75</v>
      </c>
      <c r="BF39" s="97">
        <f>VLOOKUP(Y39,MeasureCost!$B$6:$W$97,22,FALSE)</f>
        <v>551.33880000000011</v>
      </c>
      <c r="BG39" s="97">
        <f>VLOOKUP(Y39,MeasureCost!$B$6:$W$97,20,FALSE)</f>
        <v>331.21440000000001</v>
      </c>
      <c r="BH39" s="97">
        <f t="shared" si="1"/>
        <v>1544.982</v>
      </c>
      <c r="BI39" s="82">
        <f t="shared" si="2"/>
        <v>184.256</v>
      </c>
      <c r="BJ39" s="110"/>
      <c r="BK39" s="110" t="str">
        <f t="shared" si="3"/>
        <v>NE-HVAC-airAC-Split-lt45kBtuh-16p0seer</v>
      </c>
    </row>
    <row r="40" spans="1:63">
      <c r="A40" s="112">
        <v>833</v>
      </c>
      <c r="B40" s="112" t="s">
        <v>677</v>
      </c>
      <c r="C40" s="112" t="s">
        <v>294</v>
      </c>
      <c r="D40" s="112" t="s">
        <v>156</v>
      </c>
      <c r="E40" s="112" t="s">
        <v>617</v>
      </c>
      <c r="F40" s="114">
        <v>41920</v>
      </c>
      <c r="G40" s="112" t="s">
        <v>677</v>
      </c>
      <c r="H40" s="112" t="s">
        <v>545</v>
      </c>
      <c r="I40" s="112" t="s">
        <v>404</v>
      </c>
      <c r="J40" s="112" t="s">
        <v>618</v>
      </c>
      <c r="K40" s="110"/>
      <c r="L40" s="110"/>
      <c r="M40" s="112" t="s">
        <v>618</v>
      </c>
      <c r="N40" s="110"/>
      <c r="O40" s="112" t="b">
        <v>0</v>
      </c>
      <c r="P40" s="110"/>
      <c r="Q40" s="112" t="b">
        <v>0</v>
      </c>
      <c r="R40" s="112" t="s">
        <v>116</v>
      </c>
      <c r="S40" s="112" t="s">
        <v>531</v>
      </c>
      <c r="T40" s="112" t="s">
        <v>537</v>
      </c>
      <c r="U40" s="112" t="s">
        <v>538</v>
      </c>
      <c r="V40" s="112" t="s">
        <v>539</v>
      </c>
      <c r="W40" s="112" t="s">
        <v>547</v>
      </c>
      <c r="X40" s="110" t="str">
        <f>IFERROR(VLOOKUP(AF40,MeasureCost!$B$6:$B$80,1,FALSE),"")</f>
        <v>dxAC-Com-Split-lt45kBTUh-SEER-17.0</v>
      </c>
      <c r="Y40" s="110" t="str">
        <f>IFERROR(VLOOKUP(AE40,MeasureCost!$B$6:$B$80,1,FALSE),"")</f>
        <v>dxAC-Com-Split-lt45kBTUh-SEER-14.0</v>
      </c>
      <c r="Z40" s="112" t="s">
        <v>619</v>
      </c>
      <c r="AA40" s="112" t="s">
        <v>675</v>
      </c>
      <c r="AB40" s="112" t="s">
        <v>288</v>
      </c>
      <c r="AC40" s="112" t="s">
        <v>294</v>
      </c>
      <c r="AD40" s="110"/>
      <c r="AE40" s="112" t="s">
        <v>287</v>
      </c>
      <c r="AF40" s="112" t="s">
        <v>293</v>
      </c>
      <c r="AG40" s="112" t="s">
        <v>621</v>
      </c>
      <c r="AH40" s="110"/>
      <c r="AI40" s="112" t="b">
        <v>0</v>
      </c>
      <c r="AJ40" s="112" t="b">
        <v>0</v>
      </c>
      <c r="AK40" s="110"/>
      <c r="AL40" s="112" t="s">
        <v>622</v>
      </c>
      <c r="AM40" s="112" t="s">
        <v>619</v>
      </c>
      <c r="AN40" s="110"/>
      <c r="AO40" s="112" t="s">
        <v>618</v>
      </c>
      <c r="AP40" s="114">
        <v>42005</v>
      </c>
      <c r="AQ40" s="110"/>
      <c r="AR40" s="112" t="s">
        <v>545</v>
      </c>
      <c r="AS40" s="110"/>
      <c r="AT40" s="110"/>
      <c r="AU40" s="110"/>
      <c r="AV40" s="110"/>
      <c r="AW40" s="112" t="s">
        <v>404</v>
      </c>
      <c r="AX40" s="110"/>
      <c r="AY40" s="138">
        <f>VLOOKUP(X40,MeasureCost!$B$6:$Z$97,24,FALSE)</f>
        <v>1.4</v>
      </c>
      <c r="AZ40" s="138">
        <f>VLOOKUP(X40,MeasureCost!$B$6:$Z$97,25,FALSE)</f>
        <v>5</v>
      </c>
      <c r="BA40" s="138">
        <v>3</v>
      </c>
      <c r="BC40" s="97">
        <f>VLOOKUP(X40,MeasureCost!$B$6:$W$97,22,FALSE)</f>
        <v>1380.4908</v>
      </c>
      <c r="BD40" s="97">
        <f>VLOOKUP(X40,MeasureCost!$B$6:$W$97,20,FALSE)</f>
        <v>331.21440000000001</v>
      </c>
      <c r="BE40" s="97">
        <f t="shared" si="0"/>
        <v>2374.134</v>
      </c>
      <c r="BF40" s="97">
        <f>VLOOKUP(Y40,MeasureCost!$B$6:$W$97,22,FALSE)</f>
        <v>551.33880000000011</v>
      </c>
      <c r="BG40" s="97">
        <f>VLOOKUP(Y40,MeasureCost!$B$6:$W$97,20,FALSE)</f>
        <v>331.21440000000001</v>
      </c>
      <c r="BH40" s="97">
        <f t="shared" si="1"/>
        <v>1544.982</v>
      </c>
      <c r="BI40" s="82">
        <f t="shared" si="2"/>
        <v>276.38400000000001</v>
      </c>
      <c r="BJ40" s="110"/>
      <c r="BK40" s="110" t="str">
        <f t="shared" si="3"/>
        <v>NE-HVAC-airAC-Split-lt45kBtuh-17p0seer</v>
      </c>
    </row>
    <row r="41" spans="1:63">
      <c r="A41" s="112">
        <v>834</v>
      </c>
      <c r="B41" s="112" t="s">
        <v>678</v>
      </c>
      <c r="C41" s="112" t="s">
        <v>296</v>
      </c>
      <c r="D41" s="112" t="s">
        <v>156</v>
      </c>
      <c r="E41" s="112" t="s">
        <v>617</v>
      </c>
      <c r="F41" s="114">
        <v>41920</v>
      </c>
      <c r="G41" s="112" t="s">
        <v>678</v>
      </c>
      <c r="H41" s="112" t="s">
        <v>545</v>
      </c>
      <c r="I41" s="112" t="s">
        <v>404</v>
      </c>
      <c r="J41" s="112" t="s">
        <v>618</v>
      </c>
      <c r="K41" s="110"/>
      <c r="L41" s="110"/>
      <c r="M41" s="112" t="s">
        <v>618</v>
      </c>
      <c r="N41" s="110"/>
      <c r="O41" s="112" t="b">
        <v>0</v>
      </c>
      <c r="P41" s="110"/>
      <c r="Q41" s="112" t="b">
        <v>0</v>
      </c>
      <c r="R41" s="112" t="s">
        <v>116</v>
      </c>
      <c r="S41" s="112" t="s">
        <v>531</v>
      </c>
      <c r="T41" s="112" t="s">
        <v>537</v>
      </c>
      <c r="U41" s="112" t="s">
        <v>538</v>
      </c>
      <c r="V41" s="112" t="s">
        <v>539</v>
      </c>
      <c r="W41" s="112" t="s">
        <v>547</v>
      </c>
      <c r="X41" s="110" t="str">
        <f>IFERROR(VLOOKUP(AF41,MeasureCost!$B$6:$B$80,1,FALSE),"")</f>
        <v>dxAC-Com-Split-lt45kBTUh-SEER-18.0</v>
      </c>
      <c r="Y41" s="110" t="str">
        <f>IFERROR(VLOOKUP(AE41,MeasureCost!$B$6:$B$80,1,FALSE),"")</f>
        <v>dxAC-Com-Split-lt45kBTUh-SEER-14.0</v>
      </c>
      <c r="Z41" s="112" t="s">
        <v>619</v>
      </c>
      <c r="AA41" s="112" t="s">
        <v>675</v>
      </c>
      <c r="AB41" s="112" t="s">
        <v>288</v>
      </c>
      <c r="AC41" s="112" t="s">
        <v>296</v>
      </c>
      <c r="AD41" s="110"/>
      <c r="AE41" s="112" t="s">
        <v>287</v>
      </c>
      <c r="AF41" s="112" t="s">
        <v>295</v>
      </c>
      <c r="AG41" s="112" t="s">
        <v>621</v>
      </c>
      <c r="AH41" s="110"/>
      <c r="AI41" s="112" t="b">
        <v>0</v>
      </c>
      <c r="AJ41" s="112" t="b">
        <v>0</v>
      </c>
      <c r="AK41" s="110"/>
      <c r="AL41" s="112" t="s">
        <v>622</v>
      </c>
      <c r="AM41" s="112" t="s">
        <v>619</v>
      </c>
      <c r="AN41" s="110"/>
      <c r="AO41" s="112" t="s">
        <v>618</v>
      </c>
      <c r="AP41" s="114">
        <v>42005</v>
      </c>
      <c r="AQ41" s="110"/>
      <c r="AR41" s="112" t="s">
        <v>545</v>
      </c>
      <c r="AS41" s="110"/>
      <c r="AT41" s="110"/>
      <c r="AU41" s="110"/>
      <c r="AV41" s="110"/>
      <c r="AW41" s="112" t="s">
        <v>404</v>
      </c>
      <c r="AX41" s="110"/>
      <c r="AY41" s="138">
        <f>VLOOKUP(X41,MeasureCost!$B$6:$Z$97,24,FALSE)</f>
        <v>1.4</v>
      </c>
      <c r="AZ41" s="138">
        <f>VLOOKUP(X41,MeasureCost!$B$6:$Z$97,25,FALSE)</f>
        <v>5</v>
      </c>
      <c r="BA41" s="138">
        <v>3</v>
      </c>
      <c r="BC41" s="97">
        <f>VLOOKUP(X41,MeasureCost!$B$6:$W$97,22,FALSE)</f>
        <v>1656.8748000000003</v>
      </c>
      <c r="BD41" s="97">
        <f>VLOOKUP(X41,MeasureCost!$B$6:$W$97,20,FALSE)</f>
        <v>331.21440000000001</v>
      </c>
      <c r="BE41" s="97">
        <f t="shared" si="0"/>
        <v>2650.518</v>
      </c>
      <c r="BF41" s="97">
        <f>VLOOKUP(Y41,MeasureCost!$B$6:$W$97,22,FALSE)</f>
        <v>551.33880000000011</v>
      </c>
      <c r="BG41" s="97">
        <f>VLOOKUP(Y41,MeasureCost!$B$6:$W$97,20,FALSE)</f>
        <v>331.21440000000001</v>
      </c>
      <c r="BH41" s="97">
        <f t="shared" si="1"/>
        <v>1544.982</v>
      </c>
      <c r="BI41" s="82">
        <f t="shared" si="2"/>
        <v>368.512</v>
      </c>
      <c r="BJ41" s="110"/>
      <c r="BK41" s="110" t="str">
        <f t="shared" si="3"/>
        <v>NE-HVAC-airAC-Split-lt45kBtuh-18p0seer</v>
      </c>
    </row>
    <row r="42" spans="1:63">
      <c r="A42" s="112">
        <v>835</v>
      </c>
      <c r="B42" s="112" t="s">
        <v>679</v>
      </c>
      <c r="C42" s="112" t="s">
        <v>270</v>
      </c>
      <c r="D42" s="112" t="s">
        <v>156</v>
      </c>
      <c r="E42" s="112" t="s">
        <v>617</v>
      </c>
      <c r="F42" s="114">
        <v>41920</v>
      </c>
      <c r="G42" s="112" t="s">
        <v>679</v>
      </c>
      <c r="H42" s="112" t="s">
        <v>545</v>
      </c>
      <c r="I42" s="112" t="s">
        <v>404</v>
      </c>
      <c r="J42" s="112" t="s">
        <v>618</v>
      </c>
      <c r="K42" s="110"/>
      <c r="L42" s="110"/>
      <c r="M42" s="112" t="s">
        <v>618</v>
      </c>
      <c r="N42" s="110"/>
      <c r="O42" s="112" t="b">
        <v>0</v>
      </c>
      <c r="P42" s="110"/>
      <c r="Q42" s="112" t="b">
        <v>0</v>
      </c>
      <c r="R42" s="112" t="s">
        <v>116</v>
      </c>
      <c r="S42" s="112" t="s">
        <v>531</v>
      </c>
      <c r="T42" s="112" t="s">
        <v>537</v>
      </c>
      <c r="U42" s="112" t="s">
        <v>538</v>
      </c>
      <c r="V42" s="112" t="s">
        <v>539</v>
      </c>
      <c r="W42" s="112" t="s">
        <v>547</v>
      </c>
      <c r="X42" s="110" t="str">
        <f>IFERROR(VLOOKUP(AF42,MeasureCost!$B$6:$B$80,1,FALSE),"")</f>
        <v>dxAC-Com-Split-45to55kBTUh-SEER-15.0</v>
      </c>
      <c r="Y42" s="110" t="str">
        <f>IFERROR(VLOOKUP(AE42,MeasureCost!$B$6:$B$80,1,FALSE),"")</f>
        <v>dxAC-Com-Split-45to55kBTUh-SEER-14.0</v>
      </c>
      <c r="Z42" s="112" t="s">
        <v>619</v>
      </c>
      <c r="AA42" s="112" t="s">
        <v>680</v>
      </c>
      <c r="AB42" s="112" t="s">
        <v>268</v>
      </c>
      <c r="AC42" s="112" t="s">
        <v>270</v>
      </c>
      <c r="AD42" s="110"/>
      <c r="AE42" s="112" t="s">
        <v>267</v>
      </c>
      <c r="AF42" s="112" t="s">
        <v>269</v>
      </c>
      <c r="AG42" s="112" t="s">
        <v>621</v>
      </c>
      <c r="AH42" s="110"/>
      <c r="AI42" s="112" t="b">
        <v>0</v>
      </c>
      <c r="AJ42" s="112" t="b">
        <v>0</v>
      </c>
      <c r="AK42" s="110"/>
      <c r="AL42" s="112" t="s">
        <v>622</v>
      </c>
      <c r="AM42" s="112" t="s">
        <v>619</v>
      </c>
      <c r="AN42" s="110"/>
      <c r="AO42" s="112" t="s">
        <v>618</v>
      </c>
      <c r="AP42" s="114">
        <v>42005</v>
      </c>
      <c r="AQ42" s="110"/>
      <c r="AR42" s="112" t="s">
        <v>545</v>
      </c>
      <c r="AS42" s="110"/>
      <c r="AT42" s="110"/>
      <c r="AU42" s="110"/>
      <c r="AV42" s="110"/>
      <c r="AW42" s="112" t="s">
        <v>404</v>
      </c>
      <c r="AX42" s="110"/>
      <c r="AY42" s="138">
        <f>VLOOKUP(X42,MeasureCost!$B$6:$Z$97,24,FALSE)</f>
        <v>1.4</v>
      </c>
      <c r="AZ42" s="138">
        <f>VLOOKUP(X42,MeasureCost!$B$6:$Z$97,25,FALSE)</f>
        <v>5</v>
      </c>
      <c r="BA42" s="138">
        <v>3</v>
      </c>
      <c r="BC42" s="97">
        <f>VLOOKUP(X42,MeasureCost!$B$6:$W$97,22,FALSE)</f>
        <v>827.72279999999967</v>
      </c>
      <c r="BD42" s="97">
        <f>VLOOKUP(X42,MeasureCost!$B$6:$W$97,20,FALSE)</f>
        <v>331.21440000000001</v>
      </c>
      <c r="BE42" s="97">
        <f t="shared" si="0"/>
        <v>1821.3659999999995</v>
      </c>
      <c r="BF42" s="97">
        <f>VLOOKUP(Y42,MeasureCost!$B$6:$W$97,22,FALSE)</f>
        <v>551.33880000000011</v>
      </c>
      <c r="BG42" s="97">
        <f>VLOOKUP(Y42,MeasureCost!$B$6:$W$97,20,FALSE)</f>
        <v>331.21440000000001</v>
      </c>
      <c r="BH42" s="97">
        <f t="shared" si="1"/>
        <v>1544.982</v>
      </c>
      <c r="BI42" s="82">
        <f t="shared" si="2"/>
        <v>92.127999999999858</v>
      </c>
      <c r="BJ42" s="110"/>
      <c r="BK42" s="110" t="str">
        <f t="shared" si="3"/>
        <v>NE-HVAC-airAC-Split-45to55kBtuh-15p0seer</v>
      </c>
    </row>
    <row r="43" spans="1:63">
      <c r="A43" s="112">
        <v>836</v>
      </c>
      <c r="B43" s="112" t="s">
        <v>681</v>
      </c>
      <c r="C43" s="112" t="s">
        <v>272</v>
      </c>
      <c r="D43" s="112" t="s">
        <v>156</v>
      </c>
      <c r="E43" s="112" t="s">
        <v>617</v>
      </c>
      <c r="F43" s="114">
        <v>41920</v>
      </c>
      <c r="G43" s="112" t="s">
        <v>681</v>
      </c>
      <c r="H43" s="112" t="s">
        <v>545</v>
      </c>
      <c r="I43" s="112" t="s">
        <v>404</v>
      </c>
      <c r="J43" s="112" t="s">
        <v>618</v>
      </c>
      <c r="K43" s="110"/>
      <c r="L43" s="110"/>
      <c r="M43" s="112" t="s">
        <v>618</v>
      </c>
      <c r="N43" s="110"/>
      <c r="O43" s="112" t="b">
        <v>0</v>
      </c>
      <c r="P43" s="110"/>
      <c r="Q43" s="112" t="b">
        <v>0</v>
      </c>
      <c r="R43" s="112" t="s">
        <v>116</v>
      </c>
      <c r="S43" s="112" t="s">
        <v>531</v>
      </c>
      <c r="T43" s="112" t="s">
        <v>537</v>
      </c>
      <c r="U43" s="112" t="s">
        <v>538</v>
      </c>
      <c r="V43" s="112" t="s">
        <v>539</v>
      </c>
      <c r="W43" s="112" t="s">
        <v>547</v>
      </c>
      <c r="X43" s="110" t="str">
        <f>IFERROR(VLOOKUP(AF43,MeasureCost!$B$6:$B$80,1,FALSE),"")</f>
        <v>dxAC-Com-Split-45to55kBTUh-SEER-16.0</v>
      </c>
      <c r="Y43" s="110" t="str">
        <f>IFERROR(VLOOKUP(AE43,MeasureCost!$B$6:$B$80,1,FALSE),"")</f>
        <v>dxAC-Com-Split-45to55kBTUh-SEER-14.0</v>
      </c>
      <c r="Z43" s="112" t="s">
        <v>619</v>
      </c>
      <c r="AA43" s="112" t="s">
        <v>680</v>
      </c>
      <c r="AB43" s="112" t="s">
        <v>268</v>
      </c>
      <c r="AC43" s="112" t="s">
        <v>272</v>
      </c>
      <c r="AD43" s="110"/>
      <c r="AE43" s="112" t="s">
        <v>267</v>
      </c>
      <c r="AF43" s="112" t="s">
        <v>271</v>
      </c>
      <c r="AG43" s="112" t="s">
        <v>621</v>
      </c>
      <c r="AH43" s="110"/>
      <c r="AI43" s="112" t="b">
        <v>0</v>
      </c>
      <c r="AJ43" s="112" t="b">
        <v>0</v>
      </c>
      <c r="AK43" s="110"/>
      <c r="AL43" s="112" t="s">
        <v>622</v>
      </c>
      <c r="AM43" s="112" t="s">
        <v>619</v>
      </c>
      <c r="AN43" s="110"/>
      <c r="AO43" s="112" t="s">
        <v>618</v>
      </c>
      <c r="AP43" s="114">
        <v>42005</v>
      </c>
      <c r="AQ43" s="110"/>
      <c r="AR43" s="112" t="s">
        <v>545</v>
      </c>
      <c r="AS43" s="110"/>
      <c r="AT43" s="110"/>
      <c r="AU43" s="110"/>
      <c r="AV43" s="110"/>
      <c r="AW43" s="112" t="s">
        <v>404</v>
      </c>
      <c r="AX43" s="110"/>
      <c r="AY43" s="138">
        <f>VLOOKUP(X43,MeasureCost!$B$6:$Z$97,24,FALSE)</f>
        <v>1.4</v>
      </c>
      <c r="AZ43" s="138">
        <f>VLOOKUP(X43,MeasureCost!$B$6:$Z$97,25,FALSE)</f>
        <v>5</v>
      </c>
      <c r="BA43" s="138">
        <v>3</v>
      </c>
      <c r="BC43" s="97">
        <f>VLOOKUP(X43,MeasureCost!$B$6:$W$97,22,FALSE)</f>
        <v>1104.1067999999998</v>
      </c>
      <c r="BD43" s="97">
        <f>VLOOKUP(X43,MeasureCost!$B$6:$W$97,20,FALSE)</f>
        <v>331.21440000000001</v>
      </c>
      <c r="BE43" s="97">
        <f t="shared" si="0"/>
        <v>2097.75</v>
      </c>
      <c r="BF43" s="97">
        <f>VLOOKUP(Y43,MeasureCost!$B$6:$W$97,22,FALSE)</f>
        <v>551.33880000000011</v>
      </c>
      <c r="BG43" s="97">
        <f>VLOOKUP(Y43,MeasureCost!$B$6:$W$97,20,FALSE)</f>
        <v>331.21440000000001</v>
      </c>
      <c r="BH43" s="97">
        <f t="shared" si="1"/>
        <v>1544.982</v>
      </c>
      <c r="BI43" s="82">
        <f t="shared" si="2"/>
        <v>184.256</v>
      </c>
      <c r="BJ43" s="110"/>
      <c r="BK43" s="110" t="str">
        <f t="shared" si="3"/>
        <v>NE-HVAC-airAC-Split-45to55kBtuh-16p0seer</v>
      </c>
    </row>
    <row r="44" spans="1:63">
      <c r="A44" s="112">
        <v>837</v>
      </c>
      <c r="B44" s="112" t="s">
        <v>682</v>
      </c>
      <c r="C44" s="112" t="s">
        <v>274</v>
      </c>
      <c r="D44" s="112" t="s">
        <v>156</v>
      </c>
      <c r="E44" s="112" t="s">
        <v>617</v>
      </c>
      <c r="F44" s="114">
        <v>41920</v>
      </c>
      <c r="G44" s="112" t="s">
        <v>682</v>
      </c>
      <c r="H44" s="112" t="s">
        <v>545</v>
      </c>
      <c r="I44" s="112" t="s">
        <v>404</v>
      </c>
      <c r="J44" s="112" t="s">
        <v>618</v>
      </c>
      <c r="K44" s="110"/>
      <c r="L44" s="110"/>
      <c r="M44" s="112" t="s">
        <v>618</v>
      </c>
      <c r="N44" s="110"/>
      <c r="O44" s="112" t="b">
        <v>0</v>
      </c>
      <c r="P44" s="110"/>
      <c r="Q44" s="112" t="b">
        <v>0</v>
      </c>
      <c r="R44" s="112" t="s">
        <v>116</v>
      </c>
      <c r="S44" s="112" t="s">
        <v>531</v>
      </c>
      <c r="T44" s="112" t="s">
        <v>537</v>
      </c>
      <c r="U44" s="112" t="s">
        <v>538</v>
      </c>
      <c r="V44" s="112" t="s">
        <v>539</v>
      </c>
      <c r="W44" s="112" t="s">
        <v>547</v>
      </c>
      <c r="X44" s="110" t="str">
        <f>IFERROR(VLOOKUP(AF44,MeasureCost!$B$6:$B$80,1,FALSE),"")</f>
        <v>dxAC-Com-Split-45to55kBTUh-SEER-17.0</v>
      </c>
      <c r="Y44" s="110" t="str">
        <f>IFERROR(VLOOKUP(AE44,MeasureCost!$B$6:$B$80,1,FALSE),"")</f>
        <v>dxAC-Com-Split-45to55kBTUh-SEER-14.0</v>
      </c>
      <c r="Z44" s="112" t="s">
        <v>619</v>
      </c>
      <c r="AA44" s="112" t="s">
        <v>680</v>
      </c>
      <c r="AB44" s="112" t="s">
        <v>268</v>
      </c>
      <c r="AC44" s="112" t="s">
        <v>274</v>
      </c>
      <c r="AD44" s="110"/>
      <c r="AE44" s="112" t="s">
        <v>267</v>
      </c>
      <c r="AF44" s="112" t="s">
        <v>273</v>
      </c>
      <c r="AG44" s="112" t="s">
        <v>621</v>
      </c>
      <c r="AH44" s="110"/>
      <c r="AI44" s="112" t="b">
        <v>0</v>
      </c>
      <c r="AJ44" s="112" t="b">
        <v>0</v>
      </c>
      <c r="AK44" s="110"/>
      <c r="AL44" s="112" t="s">
        <v>622</v>
      </c>
      <c r="AM44" s="112" t="s">
        <v>619</v>
      </c>
      <c r="AN44" s="110"/>
      <c r="AO44" s="112" t="s">
        <v>618</v>
      </c>
      <c r="AP44" s="114">
        <v>42005</v>
      </c>
      <c r="AQ44" s="110"/>
      <c r="AR44" s="112" t="s">
        <v>545</v>
      </c>
      <c r="AS44" s="110"/>
      <c r="AT44" s="110"/>
      <c r="AU44" s="110"/>
      <c r="AV44" s="110"/>
      <c r="AW44" s="112" t="s">
        <v>404</v>
      </c>
      <c r="AX44" s="110"/>
      <c r="AY44" s="138">
        <f>VLOOKUP(X44,MeasureCost!$B$6:$Z$97,24,FALSE)</f>
        <v>1.4</v>
      </c>
      <c r="AZ44" s="138">
        <f>VLOOKUP(X44,MeasureCost!$B$6:$Z$97,25,FALSE)</f>
        <v>5</v>
      </c>
      <c r="BA44" s="138">
        <v>3</v>
      </c>
      <c r="BC44" s="97">
        <f>VLOOKUP(X44,MeasureCost!$B$6:$W$97,22,FALSE)</f>
        <v>1380.4908</v>
      </c>
      <c r="BD44" s="97">
        <f>VLOOKUP(X44,MeasureCost!$B$6:$W$97,20,FALSE)</f>
        <v>331.21440000000001</v>
      </c>
      <c r="BE44" s="97">
        <f t="shared" si="0"/>
        <v>2374.134</v>
      </c>
      <c r="BF44" s="97">
        <f>VLOOKUP(Y44,MeasureCost!$B$6:$W$97,22,FALSE)</f>
        <v>551.33880000000011</v>
      </c>
      <c r="BG44" s="97">
        <f>VLOOKUP(Y44,MeasureCost!$B$6:$W$97,20,FALSE)</f>
        <v>331.21440000000001</v>
      </c>
      <c r="BH44" s="97">
        <f t="shared" si="1"/>
        <v>1544.982</v>
      </c>
      <c r="BI44" s="82">
        <f t="shared" si="2"/>
        <v>276.38400000000001</v>
      </c>
      <c r="BJ44" s="110"/>
      <c r="BK44" s="110" t="str">
        <f t="shared" si="3"/>
        <v>NE-HVAC-airAC-Split-45to55kBtuh-17p0seer</v>
      </c>
    </row>
    <row r="45" spans="1:63">
      <c r="A45" s="112">
        <v>838</v>
      </c>
      <c r="B45" s="112" t="s">
        <v>683</v>
      </c>
      <c r="C45" s="112" t="s">
        <v>276</v>
      </c>
      <c r="D45" s="112" t="s">
        <v>156</v>
      </c>
      <c r="E45" s="112" t="s">
        <v>617</v>
      </c>
      <c r="F45" s="114">
        <v>41920</v>
      </c>
      <c r="G45" s="112" t="s">
        <v>683</v>
      </c>
      <c r="H45" s="112" t="s">
        <v>545</v>
      </c>
      <c r="I45" s="112" t="s">
        <v>404</v>
      </c>
      <c r="J45" s="112" t="s">
        <v>618</v>
      </c>
      <c r="K45" s="110"/>
      <c r="L45" s="110"/>
      <c r="M45" s="112" t="s">
        <v>618</v>
      </c>
      <c r="N45" s="110"/>
      <c r="O45" s="112" t="b">
        <v>0</v>
      </c>
      <c r="P45" s="110"/>
      <c r="Q45" s="112" t="b">
        <v>0</v>
      </c>
      <c r="R45" s="112" t="s">
        <v>116</v>
      </c>
      <c r="S45" s="112" t="s">
        <v>531</v>
      </c>
      <c r="T45" s="112" t="s">
        <v>537</v>
      </c>
      <c r="U45" s="112" t="s">
        <v>538</v>
      </c>
      <c r="V45" s="112" t="s">
        <v>539</v>
      </c>
      <c r="W45" s="112" t="s">
        <v>547</v>
      </c>
      <c r="X45" s="110" t="str">
        <f>IFERROR(VLOOKUP(AF45,MeasureCost!$B$6:$B$80,1,FALSE),"")</f>
        <v>dxAC-Com-Split-45to55kBTUh-SEER-18.0</v>
      </c>
      <c r="Y45" s="110" t="str">
        <f>IFERROR(VLOOKUP(AE45,MeasureCost!$B$6:$B$80,1,FALSE),"")</f>
        <v>dxAC-Com-Split-45to55kBTUh-SEER-14.0</v>
      </c>
      <c r="Z45" s="112" t="s">
        <v>619</v>
      </c>
      <c r="AA45" s="112" t="s">
        <v>680</v>
      </c>
      <c r="AB45" s="112" t="s">
        <v>268</v>
      </c>
      <c r="AC45" s="112" t="s">
        <v>276</v>
      </c>
      <c r="AD45" s="110"/>
      <c r="AE45" s="112" t="s">
        <v>267</v>
      </c>
      <c r="AF45" s="112" t="s">
        <v>275</v>
      </c>
      <c r="AG45" s="112" t="s">
        <v>621</v>
      </c>
      <c r="AH45" s="110"/>
      <c r="AI45" s="112" t="b">
        <v>0</v>
      </c>
      <c r="AJ45" s="112" t="b">
        <v>0</v>
      </c>
      <c r="AK45" s="110"/>
      <c r="AL45" s="112" t="s">
        <v>622</v>
      </c>
      <c r="AM45" s="112" t="s">
        <v>619</v>
      </c>
      <c r="AN45" s="110"/>
      <c r="AO45" s="112" t="s">
        <v>618</v>
      </c>
      <c r="AP45" s="114">
        <v>42005</v>
      </c>
      <c r="AQ45" s="110"/>
      <c r="AR45" s="112" t="s">
        <v>545</v>
      </c>
      <c r="AS45" s="110"/>
      <c r="AT45" s="110"/>
      <c r="AU45" s="110"/>
      <c r="AV45" s="110"/>
      <c r="AW45" s="112" t="s">
        <v>404</v>
      </c>
      <c r="AX45" s="110"/>
      <c r="AY45" s="138">
        <f>VLOOKUP(X45,MeasureCost!$B$6:$Z$97,24,FALSE)</f>
        <v>1.4</v>
      </c>
      <c r="AZ45" s="138">
        <f>VLOOKUP(X45,MeasureCost!$B$6:$Z$97,25,FALSE)</f>
        <v>5</v>
      </c>
      <c r="BA45" s="138">
        <v>3</v>
      </c>
      <c r="BC45" s="97">
        <f>VLOOKUP(X45,MeasureCost!$B$6:$W$97,22,FALSE)</f>
        <v>1656.8748000000003</v>
      </c>
      <c r="BD45" s="97">
        <f>VLOOKUP(X45,MeasureCost!$B$6:$W$97,20,FALSE)</f>
        <v>331.21440000000001</v>
      </c>
      <c r="BE45" s="97">
        <f t="shared" si="0"/>
        <v>2650.518</v>
      </c>
      <c r="BF45" s="97">
        <f>VLOOKUP(Y45,MeasureCost!$B$6:$W$97,22,FALSE)</f>
        <v>551.33880000000011</v>
      </c>
      <c r="BG45" s="97">
        <f>VLOOKUP(Y45,MeasureCost!$B$6:$W$97,20,FALSE)</f>
        <v>331.21440000000001</v>
      </c>
      <c r="BH45" s="97">
        <f t="shared" si="1"/>
        <v>1544.982</v>
      </c>
      <c r="BI45" s="82">
        <f t="shared" si="2"/>
        <v>368.512</v>
      </c>
      <c r="BJ45" s="110"/>
      <c r="BK45" s="110" t="str">
        <f t="shared" si="3"/>
        <v>NE-HVAC-airAC-Split-45to55kBtuh-18p0seer</v>
      </c>
    </row>
    <row r="46" spans="1:63">
      <c r="A46" s="112">
        <v>839</v>
      </c>
      <c r="B46" s="112" t="s">
        <v>684</v>
      </c>
      <c r="C46" s="112" t="s">
        <v>685</v>
      </c>
      <c r="D46" s="112" t="s">
        <v>156</v>
      </c>
      <c r="E46" s="112" t="s">
        <v>617</v>
      </c>
      <c r="F46" s="114">
        <v>41920</v>
      </c>
      <c r="G46" s="112" t="s">
        <v>684</v>
      </c>
      <c r="H46" s="112" t="s">
        <v>545</v>
      </c>
      <c r="I46" s="112" t="s">
        <v>404</v>
      </c>
      <c r="J46" s="112" t="s">
        <v>618</v>
      </c>
      <c r="K46" s="110"/>
      <c r="L46" s="110"/>
      <c r="M46" s="112" t="s">
        <v>618</v>
      </c>
      <c r="N46" s="110"/>
      <c r="O46" s="112" t="b">
        <v>0</v>
      </c>
      <c r="P46" s="110"/>
      <c r="Q46" s="112" t="b">
        <v>0</v>
      </c>
      <c r="R46" s="112" t="s">
        <v>116</v>
      </c>
      <c r="S46" s="112" t="s">
        <v>531</v>
      </c>
      <c r="T46" s="112" t="s">
        <v>537</v>
      </c>
      <c r="U46" s="112" t="s">
        <v>538</v>
      </c>
      <c r="V46" s="112" t="s">
        <v>539</v>
      </c>
      <c r="W46" s="112" t="s">
        <v>547</v>
      </c>
      <c r="X46" s="110" t="str">
        <f>IFERROR(VLOOKUP(AF46,MeasureCost!$B$6:$B$80,1,FALSE),"")</f>
        <v>dxAC-Com-Split-55to65kBTUh-SEER-15.0</v>
      </c>
      <c r="Y46" s="110" t="str">
        <f>IFERROR(VLOOKUP(AE46,MeasureCost!$B$6:$B$80,1,FALSE),"")</f>
        <v>dxAC-Com-Split-55to65kBTUh-SEER-14.0</v>
      </c>
      <c r="Z46" s="112" t="s">
        <v>619</v>
      </c>
      <c r="AA46" s="112" t="s">
        <v>686</v>
      </c>
      <c r="AB46" s="112" t="s">
        <v>278</v>
      </c>
      <c r="AC46" s="112" t="s">
        <v>280</v>
      </c>
      <c r="AD46" s="110"/>
      <c r="AE46" s="112" t="s">
        <v>277</v>
      </c>
      <c r="AF46" s="112" t="s">
        <v>279</v>
      </c>
      <c r="AG46" s="112" t="s">
        <v>621</v>
      </c>
      <c r="AH46" s="110"/>
      <c r="AI46" s="112" t="b">
        <v>0</v>
      </c>
      <c r="AJ46" s="112" t="b">
        <v>0</v>
      </c>
      <c r="AK46" s="110"/>
      <c r="AL46" s="112" t="s">
        <v>622</v>
      </c>
      <c r="AM46" s="112" t="s">
        <v>619</v>
      </c>
      <c r="AN46" s="110"/>
      <c r="AO46" s="112" t="s">
        <v>618</v>
      </c>
      <c r="AP46" s="114">
        <v>42005</v>
      </c>
      <c r="AQ46" s="110"/>
      <c r="AR46" s="112" t="s">
        <v>545</v>
      </c>
      <c r="AS46" s="110"/>
      <c r="AT46" s="110"/>
      <c r="AU46" s="110"/>
      <c r="AV46" s="110"/>
      <c r="AW46" s="112" t="s">
        <v>404</v>
      </c>
      <c r="AX46" s="110"/>
      <c r="AY46" s="138">
        <f>VLOOKUP(X46,MeasureCost!$B$6:$Z$97,24,FALSE)</f>
        <v>1.4</v>
      </c>
      <c r="AZ46" s="138">
        <f>VLOOKUP(X46,MeasureCost!$B$6:$Z$97,25,FALSE)</f>
        <v>5</v>
      </c>
      <c r="BA46" s="138">
        <v>3</v>
      </c>
      <c r="BC46" s="97">
        <f>VLOOKUP(X46,MeasureCost!$B$6:$W$97,22,FALSE)</f>
        <v>827.72279999999967</v>
      </c>
      <c r="BD46" s="97">
        <f>VLOOKUP(X46,MeasureCost!$B$6:$W$97,20,FALSE)</f>
        <v>331.21440000000001</v>
      </c>
      <c r="BE46" s="97">
        <f t="shared" si="0"/>
        <v>1821.3659999999995</v>
      </c>
      <c r="BF46" s="97">
        <f>VLOOKUP(Y46,MeasureCost!$B$6:$W$97,22,FALSE)</f>
        <v>551.33880000000011</v>
      </c>
      <c r="BG46" s="97">
        <f>VLOOKUP(Y46,MeasureCost!$B$6:$W$97,20,FALSE)</f>
        <v>331.21440000000001</v>
      </c>
      <c r="BH46" s="97">
        <f t="shared" si="1"/>
        <v>1544.982</v>
      </c>
      <c r="BI46" s="82">
        <f t="shared" si="2"/>
        <v>92.127999999999858</v>
      </c>
      <c r="BJ46" s="110"/>
      <c r="BK46" s="110" t="str">
        <f t="shared" si="3"/>
        <v>NE-HVAC-airAC-Split-55to65kBtuh-15p0seer</v>
      </c>
    </row>
    <row r="47" spans="1:63">
      <c r="A47" s="112">
        <v>840</v>
      </c>
      <c r="B47" s="112" t="s">
        <v>687</v>
      </c>
      <c r="C47" s="112" t="s">
        <v>688</v>
      </c>
      <c r="D47" s="112" t="s">
        <v>156</v>
      </c>
      <c r="E47" s="112" t="s">
        <v>617</v>
      </c>
      <c r="F47" s="114">
        <v>41920</v>
      </c>
      <c r="G47" s="112" t="s">
        <v>687</v>
      </c>
      <c r="H47" s="112" t="s">
        <v>545</v>
      </c>
      <c r="I47" s="112" t="s">
        <v>404</v>
      </c>
      <c r="J47" s="112" t="s">
        <v>618</v>
      </c>
      <c r="K47" s="110"/>
      <c r="L47" s="110"/>
      <c r="M47" s="112" t="s">
        <v>618</v>
      </c>
      <c r="N47" s="110"/>
      <c r="O47" s="112" t="b">
        <v>0</v>
      </c>
      <c r="P47" s="110"/>
      <c r="Q47" s="112" t="b">
        <v>0</v>
      </c>
      <c r="R47" s="112" t="s">
        <v>116</v>
      </c>
      <c r="S47" s="112" t="s">
        <v>531</v>
      </c>
      <c r="T47" s="112" t="s">
        <v>537</v>
      </c>
      <c r="U47" s="112" t="s">
        <v>538</v>
      </c>
      <c r="V47" s="112" t="s">
        <v>539</v>
      </c>
      <c r="W47" s="112" t="s">
        <v>547</v>
      </c>
      <c r="X47" s="110" t="str">
        <f>IFERROR(VLOOKUP(AF47,MeasureCost!$B$6:$B$80,1,FALSE),"")</f>
        <v>dxAC-Com-Split-55to65kBTUh-SEER-16.0</v>
      </c>
      <c r="Y47" s="110" t="str">
        <f>IFERROR(VLOOKUP(AE47,MeasureCost!$B$6:$B$80,1,FALSE),"")</f>
        <v>dxAC-Com-Split-55to65kBTUh-SEER-14.0</v>
      </c>
      <c r="Z47" s="112" t="s">
        <v>619</v>
      </c>
      <c r="AA47" s="112" t="s">
        <v>686</v>
      </c>
      <c r="AB47" s="112" t="s">
        <v>278</v>
      </c>
      <c r="AC47" s="112" t="s">
        <v>282</v>
      </c>
      <c r="AD47" s="110"/>
      <c r="AE47" s="112" t="s">
        <v>277</v>
      </c>
      <c r="AF47" s="112" t="s">
        <v>281</v>
      </c>
      <c r="AG47" s="112" t="s">
        <v>621</v>
      </c>
      <c r="AH47" s="110"/>
      <c r="AI47" s="112" t="b">
        <v>0</v>
      </c>
      <c r="AJ47" s="112" t="b">
        <v>0</v>
      </c>
      <c r="AK47" s="110"/>
      <c r="AL47" s="112" t="s">
        <v>622</v>
      </c>
      <c r="AM47" s="112" t="s">
        <v>619</v>
      </c>
      <c r="AN47" s="110"/>
      <c r="AO47" s="112" t="s">
        <v>618</v>
      </c>
      <c r="AP47" s="114">
        <v>42005</v>
      </c>
      <c r="AQ47" s="110"/>
      <c r="AR47" s="112" t="s">
        <v>545</v>
      </c>
      <c r="AS47" s="110"/>
      <c r="AT47" s="110"/>
      <c r="AU47" s="110"/>
      <c r="AV47" s="110"/>
      <c r="AW47" s="112" t="s">
        <v>404</v>
      </c>
      <c r="AX47" s="110"/>
      <c r="AY47" s="138">
        <f>VLOOKUP(X47,MeasureCost!$B$6:$Z$97,24,FALSE)</f>
        <v>1.4</v>
      </c>
      <c r="AZ47" s="138">
        <f>VLOOKUP(X47,MeasureCost!$B$6:$Z$97,25,FALSE)</f>
        <v>5</v>
      </c>
      <c r="BA47" s="138">
        <v>3</v>
      </c>
      <c r="BC47" s="97">
        <f>VLOOKUP(X47,MeasureCost!$B$6:$W$97,22,FALSE)</f>
        <v>1104.1067999999998</v>
      </c>
      <c r="BD47" s="97">
        <f>VLOOKUP(X47,MeasureCost!$B$6:$W$97,20,FALSE)</f>
        <v>331.21440000000001</v>
      </c>
      <c r="BE47" s="97">
        <f t="shared" si="0"/>
        <v>2097.75</v>
      </c>
      <c r="BF47" s="97">
        <f>VLOOKUP(Y47,MeasureCost!$B$6:$W$97,22,FALSE)</f>
        <v>551.33880000000011</v>
      </c>
      <c r="BG47" s="97">
        <f>VLOOKUP(Y47,MeasureCost!$B$6:$W$97,20,FALSE)</f>
        <v>331.21440000000001</v>
      </c>
      <c r="BH47" s="97">
        <f t="shared" si="1"/>
        <v>1544.982</v>
      </c>
      <c r="BI47" s="82">
        <f t="shared" si="2"/>
        <v>184.256</v>
      </c>
      <c r="BJ47" s="110"/>
      <c r="BK47" s="110" t="str">
        <f t="shared" si="3"/>
        <v>NE-HVAC-airAC-Split-55to65kBtuh-16p0seer</v>
      </c>
    </row>
    <row r="48" spans="1:63">
      <c r="A48" s="112">
        <v>841</v>
      </c>
      <c r="B48" s="112" t="s">
        <v>689</v>
      </c>
      <c r="C48" s="112" t="s">
        <v>690</v>
      </c>
      <c r="D48" s="112" t="s">
        <v>156</v>
      </c>
      <c r="E48" s="112" t="s">
        <v>617</v>
      </c>
      <c r="F48" s="114">
        <v>41920</v>
      </c>
      <c r="G48" s="112" t="s">
        <v>689</v>
      </c>
      <c r="H48" s="112" t="s">
        <v>545</v>
      </c>
      <c r="I48" s="112" t="s">
        <v>404</v>
      </c>
      <c r="J48" s="112" t="s">
        <v>618</v>
      </c>
      <c r="K48" s="110"/>
      <c r="L48" s="110"/>
      <c r="M48" s="112" t="s">
        <v>618</v>
      </c>
      <c r="N48" s="110"/>
      <c r="O48" s="112" t="b">
        <v>0</v>
      </c>
      <c r="P48" s="110"/>
      <c r="Q48" s="112" t="b">
        <v>0</v>
      </c>
      <c r="R48" s="112" t="s">
        <v>116</v>
      </c>
      <c r="S48" s="112" t="s">
        <v>531</v>
      </c>
      <c r="T48" s="112" t="s">
        <v>537</v>
      </c>
      <c r="U48" s="112" t="s">
        <v>538</v>
      </c>
      <c r="V48" s="112" t="s">
        <v>539</v>
      </c>
      <c r="W48" s="112" t="s">
        <v>547</v>
      </c>
      <c r="X48" s="110" t="str">
        <f>IFERROR(VLOOKUP(AF48,MeasureCost!$B$6:$B$80,1,FALSE),"")</f>
        <v>dxAC-Com-Split-55to65kBTUh-SEER-17.0</v>
      </c>
      <c r="Y48" s="110" t="str">
        <f>IFERROR(VLOOKUP(AE48,MeasureCost!$B$6:$B$80,1,FALSE),"")</f>
        <v>dxAC-Com-Split-55to65kBTUh-SEER-14.0</v>
      </c>
      <c r="Z48" s="112" t="s">
        <v>619</v>
      </c>
      <c r="AA48" s="112" t="s">
        <v>686</v>
      </c>
      <c r="AB48" s="112" t="s">
        <v>278</v>
      </c>
      <c r="AC48" s="112" t="s">
        <v>284</v>
      </c>
      <c r="AD48" s="110"/>
      <c r="AE48" s="112" t="s">
        <v>277</v>
      </c>
      <c r="AF48" s="112" t="s">
        <v>283</v>
      </c>
      <c r="AG48" s="112" t="s">
        <v>621</v>
      </c>
      <c r="AH48" s="110"/>
      <c r="AI48" s="112" t="b">
        <v>0</v>
      </c>
      <c r="AJ48" s="112" t="b">
        <v>0</v>
      </c>
      <c r="AK48" s="110"/>
      <c r="AL48" s="112" t="s">
        <v>622</v>
      </c>
      <c r="AM48" s="112" t="s">
        <v>619</v>
      </c>
      <c r="AN48" s="110"/>
      <c r="AO48" s="112" t="s">
        <v>618</v>
      </c>
      <c r="AP48" s="114">
        <v>42005</v>
      </c>
      <c r="AQ48" s="110"/>
      <c r="AR48" s="112" t="s">
        <v>545</v>
      </c>
      <c r="AS48" s="110"/>
      <c r="AT48" s="110"/>
      <c r="AU48" s="110"/>
      <c r="AV48" s="110"/>
      <c r="AW48" s="112" t="s">
        <v>404</v>
      </c>
      <c r="AX48" s="110"/>
      <c r="AY48" s="138">
        <f>VLOOKUP(X48,MeasureCost!$B$6:$Z$97,24,FALSE)</f>
        <v>1.4</v>
      </c>
      <c r="AZ48" s="138">
        <f>VLOOKUP(X48,MeasureCost!$B$6:$Z$97,25,FALSE)</f>
        <v>5</v>
      </c>
      <c r="BA48" s="138">
        <v>3</v>
      </c>
      <c r="BC48" s="97">
        <f>VLOOKUP(X48,MeasureCost!$B$6:$W$97,22,FALSE)</f>
        <v>1380.4908</v>
      </c>
      <c r="BD48" s="97">
        <f>VLOOKUP(X48,MeasureCost!$B$6:$W$97,20,FALSE)</f>
        <v>331.21440000000001</v>
      </c>
      <c r="BE48" s="97">
        <f t="shared" si="0"/>
        <v>2374.134</v>
      </c>
      <c r="BF48" s="97">
        <f>VLOOKUP(Y48,MeasureCost!$B$6:$W$97,22,FALSE)</f>
        <v>551.33880000000011</v>
      </c>
      <c r="BG48" s="97">
        <f>VLOOKUP(Y48,MeasureCost!$B$6:$W$97,20,FALSE)</f>
        <v>331.21440000000001</v>
      </c>
      <c r="BH48" s="97">
        <f t="shared" si="1"/>
        <v>1544.982</v>
      </c>
      <c r="BI48" s="82">
        <f t="shared" si="2"/>
        <v>276.38400000000001</v>
      </c>
      <c r="BJ48" s="110"/>
      <c r="BK48" s="110" t="str">
        <f t="shared" si="3"/>
        <v>NE-HVAC-airAC-Split-55to65kBtuh-17p0seer</v>
      </c>
    </row>
    <row r="49" spans="1:63">
      <c r="A49" s="112">
        <v>842</v>
      </c>
      <c r="B49" s="112" t="s">
        <v>691</v>
      </c>
      <c r="C49" s="112" t="s">
        <v>692</v>
      </c>
      <c r="D49" s="112" t="s">
        <v>156</v>
      </c>
      <c r="E49" s="112" t="s">
        <v>617</v>
      </c>
      <c r="F49" s="114">
        <v>41920</v>
      </c>
      <c r="G49" s="112" t="s">
        <v>691</v>
      </c>
      <c r="H49" s="112" t="s">
        <v>545</v>
      </c>
      <c r="I49" s="112" t="s">
        <v>404</v>
      </c>
      <c r="J49" s="112" t="s">
        <v>618</v>
      </c>
      <c r="K49" s="110"/>
      <c r="L49" s="110"/>
      <c r="M49" s="112" t="s">
        <v>618</v>
      </c>
      <c r="N49" s="110"/>
      <c r="O49" s="112" t="b">
        <v>0</v>
      </c>
      <c r="P49" s="110"/>
      <c r="Q49" s="112" t="b">
        <v>0</v>
      </c>
      <c r="R49" s="112" t="s">
        <v>116</v>
      </c>
      <c r="S49" s="112" t="s">
        <v>531</v>
      </c>
      <c r="T49" s="112" t="s">
        <v>537</v>
      </c>
      <c r="U49" s="112" t="s">
        <v>538</v>
      </c>
      <c r="V49" s="112" t="s">
        <v>539</v>
      </c>
      <c r="W49" s="112" t="s">
        <v>547</v>
      </c>
      <c r="X49" s="110" t="str">
        <f>IFERROR(VLOOKUP(AF49,MeasureCost!$B$6:$B$80,1,FALSE),"")</f>
        <v>dxAC-Com-Split-55to65kBTUh-SEER-18.0</v>
      </c>
      <c r="Y49" s="110" t="str">
        <f>IFERROR(VLOOKUP(AE49,MeasureCost!$B$6:$B$80,1,FALSE),"")</f>
        <v>dxAC-Com-Split-55to65kBTUh-SEER-14.0</v>
      </c>
      <c r="Z49" s="112" t="s">
        <v>619</v>
      </c>
      <c r="AA49" s="112" t="s">
        <v>686</v>
      </c>
      <c r="AB49" s="112" t="s">
        <v>278</v>
      </c>
      <c r="AC49" s="112" t="s">
        <v>286</v>
      </c>
      <c r="AD49" s="110"/>
      <c r="AE49" s="112" t="s">
        <v>277</v>
      </c>
      <c r="AF49" s="112" t="s">
        <v>285</v>
      </c>
      <c r="AG49" s="112" t="s">
        <v>621</v>
      </c>
      <c r="AH49" s="110"/>
      <c r="AI49" s="112" t="b">
        <v>0</v>
      </c>
      <c r="AJ49" s="112" t="b">
        <v>0</v>
      </c>
      <c r="AK49" s="110"/>
      <c r="AL49" s="112" t="s">
        <v>622</v>
      </c>
      <c r="AM49" s="112" t="s">
        <v>619</v>
      </c>
      <c r="AN49" s="110"/>
      <c r="AO49" s="112" t="s">
        <v>618</v>
      </c>
      <c r="AP49" s="114">
        <v>42005</v>
      </c>
      <c r="AQ49" s="110"/>
      <c r="AR49" s="112" t="s">
        <v>545</v>
      </c>
      <c r="AS49" s="110"/>
      <c r="AT49" s="110"/>
      <c r="AU49" s="110"/>
      <c r="AV49" s="110"/>
      <c r="AW49" s="112" t="s">
        <v>404</v>
      </c>
      <c r="AX49" s="110"/>
      <c r="AY49" s="138">
        <f>VLOOKUP(X49,MeasureCost!$B$6:$Z$97,24,FALSE)</f>
        <v>1.4</v>
      </c>
      <c r="AZ49" s="138">
        <f>VLOOKUP(X49,MeasureCost!$B$6:$Z$97,25,FALSE)</f>
        <v>5</v>
      </c>
      <c r="BA49" s="138">
        <v>3</v>
      </c>
      <c r="BC49" s="97">
        <f>VLOOKUP(X49,MeasureCost!$B$6:$W$97,22,FALSE)</f>
        <v>1656.8748000000003</v>
      </c>
      <c r="BD49" s="97">
        <f>VLOOKUP(X49,MeasureCost!$B$6:$W$97,20,FALSE)</f>
        <v>331.21440000000001</v>
      </c>
      <c r="BE49" s="97">
        <f t="shared" si="0"/>
        <v>2650.518</v>
      </c>
      <c r="BF49" s="97">
        <f>VLOOKUP(Y49,MeasureCost!$B$6:$W$97,22,FALSE)</f>
        <v>551.33880000000011</v>
      </c>
      <c r="BG49" s="97">
        <f>VLOOKUP(Y49,MeasureCost!$B$6:$W$97,20,FALSE)</f>
        <v>331.21440000000001</v>
      </c>
      <c r="BH49" s="97">
        <f t="shared" si="1"/>
        <v>1544.982</v>
      </c>
      <c r="BI49" s="82">
        <f t="shared" si="2"/>
        <v>368.512</v>
      </c>
      <c r="BJ49" s="110"/>
      <c r="BK49" s="110" t="str">
        <f t="shared" si="3"/>
        <v>NE-HVAC-airAC-Split-55to65kBtuh-18p0seer</v>
      </c>
    </row>
    <row r="50" spans="1:63">
      <c r="A50" s="112">
        <v>843</v>
      </c>
      <c r="B50" s="112" t="s">
        <v>693</v>
      </c>
      <c r="C50" s="112" t="s">
        <v>694</v>
      </c>
      <c r="D50" s="112" t="s">
        <v>156</v>
      </c>
      <c r="E50" s="112" t="s">
        <v>617</v>
      </c>
      <c r="F50" s="114">
        <v>41927</v>
      </c>
      <c r="G50" s="112" t="s">
        <v>693</v>
      </c>
      <c r="H50" s="112" t="s">
        <v>545</v>
      </c>
      <c r="I50" s="112" t="s">
        <v>404</v>
      </c>
      <c r="J50" s="112" t="s">
        <v>618</v>
      </c>
      <c r="K50" s="110"/>
      <c r="L50" s="110"/>
      <c r="M50" s="112" t="s">
        <v>618</v>
      </c>
      <c r="N50" s="110"/>
      <c r="O50" s="112" t="b">
        <v>0</v>
      </c>
      <c r="P50" s="110"/>
      <c r="Q50" s="112" t="b">
        <v>0</v>
      </c>
      <c r="R50" s="112" t="s">
        <v>116</v>
      </c>
      <c r="S50" s="112" t="s">
        <v>531</v>
      </c>
      <c r="T50" s="112" t="s">
        <v>537</v>
      </c>
      <c r="U50" s="112" t="s">
        <v>538</v>
      </c>
      <c r="V50" s="112" t="s">
        <v>539</v>
      </c>
      <c r="W50" s="112" t="s">
        <v>547</v>
      </c>
      <c r="X50" s="110" t="str">
        <f>IFERROR(VLOOKUP(AF50,MeasureCost!$B$6:$B$80,1,FALSE),"")</f>
        <v>dxAC-Com-Split-55to65kBTUh-SEER-15.0</v>
      </c>
      <c r="Y50" s="110" t="str">
        <f>IFERROR(VLOOKUP(AE50,MeasureCost!$B$6:$B$80,1,FALSE),"")</f>
        <v>dxAC-Com-Split-55to65kBTUh-SEER-14.0</v>
      </c>
      <c r="Z50" s="112" t="s">
        <v>619</v>
      </c>
      <c r="AA50" s="112" t="s">
        <v>695</v>
      </c>
      <c r="AB50" s="112" t="s">
        <v>278</v>
      </c>
      <c r="AC50" s="112" t="s">
        <v>280</v>
      </c>
      <c r="AD50" s="110"/>
      <c r="AE50" s="112" t="s">
        <v>277</v>
      </c>
      <c r="AF50" s="112" t="s">
        <v>279</v>
      </c>
      <c r="AG50" s="112" t="s">
        <v>621</v>
      </c>
      <c r="AH50" s="110"/>
      <c r="AI50" s="112" t="b">
        <v>0</v>
      </c>
      <c r="AJ50" s="112" t="b">
        <v>0</v>
      </c>
      <c r="AK50" s="110"/>
      <c r="AL50" s="112" t="s">
        <v>622</v>
      </c>
      <c r="AM50" s="112" t="s">
        <v>619</v>
      </c>
      <c r="AN50" s="110"/>
      <c r="AO50" s="112" t="s">
        <v>618</v>
      </c>
      <c r="AP50" s="114">
        <v>42005</v>
      </c>
      <c r="AQ50" s="110"/>
      <c r="AR50" s="112" t="s">
        <v>545</v>
      </c>
      <c r="AS50" s="110"/>
      <c r="AT50" s="110"/>
      <c r="AU50" s="110"/>
      <c r="AV50" s="110"/>
      <c r="AW50" s="112" t="s">
        <v>404</v>
      </c>
      <c r="AX50" s="110"/>
      <c r="AY50" s="138">
        <f>VLOOKUP(X50,MeasureCost!$B$6:$Z$97,24,FALSE)</f>
        <v>1.4</v>
      </c>
      <c r="AZ50" s="138">
        <f>VLOOKUP(X50,MeasureCost!$B$6:$Z$97,25,FALSE)</f>
        <v>5</v>
      </c>
      <c r="BA50" s="138">
        <v>3</v>
      </c>
      <c r="BC50" s="97">
        <f>VLOOKUP(X50,MeasureCost!$B$6:$W$97,22,FALSE)</f>
        <v>827.72279999999967</v>
      </c>
      <c r="BD50" s="97">
        <f>VLOOKUP(X50,MeasureCost!$B$6:$W$97,20,FALSE)</f>
        <v>331.21440000000001</v>
      </c>
      <c r="BE50" s="97">
        <f t="shared" si="0"/>
        <v>1821.3659999999995</v>
      </c>
      <c r="BF50" s="97">
        <f>VLOOKUP(Y50,MeasureCost!$B$6:$W$97,22,FALSE)</f>
        <v>551.33880000000011</v>
      </c>
      <c r="BG50" s="97">
        <f>VLOOKUP(Y50,MeasureCost!$B$6:$W$97,20,FALSE)</f>
        <v>331.21440000000001</v>
      </c>
      <c r="BH50" s="97">
        <f t="shared" si="1"/>
        <v>1544.982</v>
      </c>
      <c r="BI50" s="82">
        <f t="shared" si="2"/>
        <v>92.127999999999858</v>
      </c>
      <c r="BJ50" s="110"/>
      <c r="BK50" s="110" t="str">
        <f t="shared" si="3"/>
        <v>NE-HVAC-airAC-Split-55to65kBtuh-15p0seer-wPreEcono</v>
      </c>
    </row>
    <row r="51" spans="1:63">
      <c r="A51" s="112">
        <v>844</v>
      </c>
      <c r="B51" s="112" t="s">
        <v>696</v>
      </c>
      <c r="C51" s="112" t="s">
        <v>697</v>
      </c>
      <c r="D51" s="112" t="s">
        <v>156</v>
      </c>
      <c r="E51" s="112" t="s">
        <v>617</v>
      </c>
      <c r="F51" s="114">
        <v>41927</v>
      </c>
      <c r="G51" s="112" t="s">
        <v>696</v>
      </c>
      <c r="H51" s="112" t="s">
        <v>545</v>
      </c>
      <c r="I51" s="112" t="s">
        <v>404</v>
      </c>
      <c r="J51" s="112" t="s">
        <v>618</v>
      </c>
      <c r="K51" s="110"/>
      <c r="L51" s="110"/>
      <c r="M51" s="112" t="s">
        <v>618</v>
      </c>
      <c r="N51" s="110"/>
      <c r="O51" s="112" t="b">
        <v>0</v>
      </c>
      <c r="P51" s="110"/>
      <c r="Q51" s="112" t="b">
        <v>0</v>
      </c>
      <c r="R51" s="112" t="s">
        <v>116</v>
      </c>
      <c r="S51" s="112" t="s">
        <v>531</v>
      </c>
      <c r="T51" s="112" t="s">
        <v>537</v>
      </c>
      <c r="U51" s="112" t="s">
        <v>538</v>
      </c>
      <c r="V51" s="112" t="s">
        <v>539</v>
      </c>
      <c r="W51" s="112" t="s">
        <v>547</v>
      </c>
      <c r="X51" s="110" t="str">
        <f>IFERROR(VLOOKUP(AF51,MeasureCost!$B$6:$B$80,1,FALSE),"")</f>
        <v>dxAC-Com-Split-55to65kBTUh-SEER-16.0</v>
      </c>
      <c r="Y51" s="110" t="str">
        <f>IFERROR(VLOOKUP(AE51,MeasureCost!$B$6:$B$80,1,FALSE),"")</f>
        <v>dxAC-Com-Split-55to65kBTUh-SEER-14.0</v>
      </c>
      <c r="Z51" s="112" t="s">
        <v>619</v>
      </c>
      <c r="AA51" s="112" t="s">
        <v>695</v>
      </c>
      <c r="AB51" s="112" t="s">
        <v>278</v>
      </c>
      <c r="AC51" s="112" t="s">
        <v>282</v>
      </c>
      <c r="AD51" s="110"/>
      <c r="AE51" s="112" t="s">
        <v>277</v>
      </c>
      <c r="AF51" s="112" t="s">
        <v>281</v>
      </c>
      <c r="AG51" s="112" t="s">
        <v>621</v>
      </c>
      <c r="AH51" s="110"/>
      <c r="AI51" s="112" t="b">
        <v>0</v>
      </c>
      <c r="AJ51" s="112" t="b">
        <v>0</v>
      </c>
      <c r="AK51" s="110"/>
      <c r="AL51" s="112" t="s">
        <v>622</v>
      </c>
      <c r="AM51" s="112" t="s">
        <v>619</v>
      </c>
      <c r="AN51" s="110"/>
      <c r="AO51" s="112" t="s">
        <v>618</v>
      </c>
      <c r="AP51" s="114">
        <v>42005</v>
      </c>
      <c r="AQ51" s="110"/>
      <c r="AR51" s="112" t="s">
        <v>545</v>
      </c>
      <c r="AS51" s="110"/>
      <c r="AT51" s="110"/>
      <c r="AU51" s="110"/>
      <c r="AV51" s="110"/>
      <c r="AW51" s="112" t="s">
        <v>404</v>
      </c>
      <c r="AX51" s="110"/>
      <c r="AY51" s="138">
        <f>VLOOKUP(X51,MeasureCost!$B$6:$Z$97,24,FALSE)</f>
        <v>1.4</v>
      </c>
      <c r="AZ51" s="138">
        <f>VLOOKUP(X51,MeasureCost!$B$6:$Z$97,25,FALSE)</f>
        <v>5</v>
      </c>
      <c r="BA51" s="138">
        <v>3</v>
      </c>
      <c r="BC51" s="97">
        <f>VLOOKUP(X51,MeasureCost!$B$6:$W$97,22,FALSE)</f>
        <v>1104.1067999999998</v>
      </c>
      <c r="BD51" s="97">
        <f>VLOOKUP(X51,MeasureCost!$B$6:$W$97,20,FALSE)</f>
        <v>331.21440000000001</v>
      </c>
      <c r="BE51" s="97">
        <f t="shared" si="0"/>
        <v>2097.75</v>
      </c>
      <c r="BF51" s="97">
        <f>VLOOKUP(Y51,MeasureCost!$B$6:$W$97,22,FALSE)</f>
        <v>551.33880000000011</v>
      </c>
      <c r="BG51" s="97">
        <f>VLOOKUP(Y51,MeasureCost!$B$6:$W$97,20,FALSE)</f>
        <v>331.21440000000001</v>
      </c>
      <c r="BH51" s="97">
        <f t="shared" si="1"/>
        <v>1544.982</v>
      </c>
      <c r="BI51" s="82">
        <f t="shared" si="2"/>
        <v>184.256</v>
      </c>
      <c r="BJ51" s="110"/>
      <c r="BK51" s="110" t="str">
        <f t="shared" si="3"/>
        <v>NE-HVAC-airAC-Split-55to65kBtuh-16p0seer-wPreEcono</v>
      </c>
    </row>
    <row r="52" spans="1:63">
      <c r="A52" s="112">
        <v>845</v>
      </c>
      <c r="B52" s="112" t="s">
        <v>698</v>
      </c>
      <c r="C52" s="112" t="s">
        <v>699</v>
      </c>
      <c r="D52" s="112" t="s">
        <v>156</v>
      </c>
      <c r="E52" s="112" t="s">
        <v>617</v>
      </c>
      <c r="F52" s="114">
        <v>41927</v>
      </c>
      <c r="G52" s="112" t="s">
        <v>698</v>
      </c>
      <c r="H52" s="112" t="s">
        <v>545</v>
      </c>
      <c r="I52" s="112" t="s">
        <v>404</v>
      </c>
      <c r="J52" s="112" t="s">
        <v>618</v>
      </c>
      <c r="K52" s="110"/>
      <c r="L52" s="110"/>
      <c r="M52" s="112" t="s">
        <v>618</v>
      </c>
      <c r="N52" s="110"/>
      <c r="O52" s="112" t="b">
        <v>0</v>
      </c>
      <c r="P52" s="110"/>
      <c r="Q52" s="112" t="b">
        <v>0</v>
      </c>
      <c r="R52" s="112" t="s">
        <v>116</v>
      </c>
      <c r="S52" s="112" t="s">
        <v>531</v>
      </c>
      <c r="T52" s="112" t="s">
        <v>537</v>
      </c>
      <c r="U52" s="112" t="s">
        <v>538</v>
      </c>
      <c r="V52" s="112" t="s">
        <v>539</v>
      </c>
      <c r="W52" s="112" t="s">
        <v>547</v>
      </c>
      <c r="X52" s="110" t="str">
        <f>IFERROR(VLOOKUP(AF52,MeasureCost!$B$6:$B$80,1,FALSE),"")</f>
        <v>dxAC-Com-Split-55to65kBTUh-SEER-17.0</v>
      </c>
      <c r="Y52" s="110" t="str">
        <f>IFERROR(VLOOKUP(AE52,MeasureCost!$B$6:$B$80,1,FALSE),"")</f>
        <v>dxAC-Com-Split-55to65kBTUh-SEER-14.0</v>
      </c>
      <c r="Z52" s="112" t="s">
        <v>619</v>
      </c>
      <c r="AA52" s="112" t="s">
        <v>695</v>
      </c>
      <c r="AB52" s="112" t="s">
        <v>278</v>
      </c>
      <c r="AC52" s="112" t="s">
        <v>284</v>
      </c>
      <c r="AD52" s="110"/>
      <c r="AE52" s="112" t="s">
        <v>277</v>
      </c>
      <c r="AF52" s="112" t="s">
        <v>283</v>
      </c>
      <c r="AG52" s="112" t="s">
        <v>621</v>
      </c>
      <c r="AH52" s="110"/>
      <c r="AI52" s="112" t="b">
        <v>0</v>
      </c>
      <c r="AJ52" s="112" t="b">
        <v>0</v>
      </c>
      <c r="AK52" s="110"/>
      <c r="AL52" s="112" t="s">
        <v>622</v>
      </c>
      <c r="AM52" s="112" t="s">
        <v>619</v>
      </c>
      <c r="AN52" s="110"/>
      <c r="AO52" s="112" t="s">
        <v>618</v>
      </c>
      <c r="AP52" s="114">
        <v>42005</v>
      </c>
      <c r="AQ52" s="110"/>
      <c r="AR52" s="112" t="s">
        <v>545</v>
      </c>
      <c r="AS52" s="110"/>
      <c r="AT52" s="110"/>
      <c r="AU52" s="110"/>
      <c r="AV52" s="110"/>
      <c r="AW52" s="112" t="s">
        <v>404</v>
      </c>
      <c r="AX52" s="110"/>
      <c r="AY52" s="138">
        <f>VLOOKUP(X52,MeasureCost!$B$6:$Z$97,24,FALSE)</f>
        <v>1.4</v>
      </c>
      <c r="AZ52" s="138">
        <f>VLOOKUP(X52,MeasureCost!$B$6:$Z$97,25,FALSE)</f>
        <v>5</v>
      </c>
      <c r="BA52" s="138">
        <v>3</v>
      </c>
      <c r="BC52" s="97">
        <f>VLOOKUP(X52,MeasureCost!$B$6:$W$97,22,FALSE)</f>
        <v>1380.4908</v>
      </c>
      <c r="BD52" s="97">
        <f>VLOOKUP(X52,MeasureCost!$B$6:$W$97,20,FALSE)</f>
        <v>331.21440000000001</v>
      </c>
      <c r="BE52" s="97">
        <f t="shared" si="0"/>
        <v>2374.134</v>
      </c>
      <c r="BF52" s="97">
        <f>VLOOKUP(Y52,MeasureCost!$B$6:$W$97,22,FALSE)</f>
        <v>551.33880000000011</v>
      </c>
      <c r="BG52" s="97">
        <f>VLOOKUP(Y52,MeasureCost!$B$6:$W$97,20,FALSE)</f>
        <v>331.21440000000001</v>
      </c>
      <c r="BH52" s="97">
        <f t="shared" si="1"/>
        <v>1544.982</v>
      </c>
      <c r="BI52" s="82">
        <f t="shared" si="2"/>
        <v>276.38400000000001</v>
      </c>
      <c r="BJ52" s="110"/>
      <c r="BK52" s="110" t="str">
        <f t="shared" si="3"/>
        <v>NE-HVAC-airAC-Split-55to65kBtuh-17p0seer-wPreEcono</v>
      </c>
    </row>
    <row r="53" spans="1:63">
      <c r="A53" s="112">
        <v>846</v>
      </c>
      <c r="B53" s="112" t="s">
        <v>700</v>
      </c>
      <c r="C53" s="112" t="s">
        <v>701</v>
      </c>
      <c r="D53" s="112" t="s">
        <v>156</v>
      </c>
      <c r="E53" s="112" t="s">
        <v>617</v>
      </c>
      <c r="F53" s="114">
        <v>41927</v>
      </c>
      <c r="G53" s="112" t="s">
        <v>700</v>
      </c>
      <c r="H53" s="112" t="s">
        <v>545</v>
      </c>
      <c r="I53" s="112" t="s">
        <v>404</v>
      </c>
      <c r="J53" s="112" t="s">
        <v>618</v>
      </c>
      <c r="K53" s="110"/>
      <c r="L53" s="110"/>
      <c r="M53" s="112" t="s">
        <v>618</v>
      </c>
      <c r="N53" s="110"/>
      <c r="O53" s="112" t="b">
        <v>0</v>
      </c>
      <c r="P53" s="110"/>
      <c r="Q53" s="112" t="b">
        <v>0</v>
      </c>
      <c r="R53" s="112" t="s">
        <v>116</v>
      </c>
      <c r="S53" s="112" t="s">
        <v>531</v>
      </c>
      <c r="T53" s="112" t="s">
        <v>537</v>
      </c>
      <c r="U53" s="112" t="s">
        <v>538</v>
      </c>
      <c r="V53" s="112" t="s">
        <v>539</v>
      </c>
      <c r="W53" s="112" t="s">
        <v>547</v>
      </c>
      <c r="X53" s="110" t="str">
        <f>IFERROR(VLOOKUP(AF53,MeasureCost!$B$6:$B$80,1,FALSE),"")</f>
        <v>dxAC-Com-Split-55to65kBTUh-SEER-18.0</v>
      </c>
      <c r="Y53" s="110" t="str">
        <f>IFERROR(VLOOKUP(AE53,MeasureCost!$B$6:$B$80,1,FALSE),"")</f>
        <v>dxAC-Com-Split-55to65kBTUh-SEER-14.0</v>
      </c>
      <c r="Z53" s="112" t="s">
        <v>619</v>
      </c>
      <c r="AA53" s="112" t="s">
        <v>695</v>
      </c>
      <c r="AB53" s="112" t="s">
        <v>278</v>
      </c>
      <c r="AC53" s="112" t="s">
        <v>286</v>
      </c>
      <c r="AD53" s="110"/>
      <c r="AE53" s="112" t="s">
        <v>277</v>
      </c>
      <c r="AF53" s="112" t="s">
        <v>285</v>
      </c>
      <c r="AG53" s="112" t="s">
        <v>621</v>
      </c>
      <c r="AH53" s="110"/>
      <c r="AI53" s="112" t="b">
        <v>0</v>
      </c>
      <c r="AJ53" s="112" t="b">
        <v>0</v>
      </c>
      <c r="AK53" s="110"/>
      <c r="AL53" s="112" t="s">
        <v>622</v>
      </c>
      <c r="AM53" s="112" t="s">
        <v>619</v>
      </c>
      <c r="AN53" s="110"/>
      <c r="AO53" s="112" t="s">
        <v>618</v>
      </c>
      <c r="AP53" s="114">
        <v>42005</v>
      </c>
      <c r="AQ53" s="110"/>
      <c r="AR53" s="112" t="s">
        <v>545</v>
      </c>
      <c r="AS53" s="110"/>
      <c r="AT53" s="110"/>
      <c r="AU53" s="110"/>
      <c r="AV53" s="110"/>
      <c r="AW53" s="112" t="s">
        <v>404</v>
      </c>
      <c r="AX53" s="110"/>
      <c r="AY53" s="138">
        <f>VLOOKUP(X53,MeasureCost!$B$6:$Z$97,24,FALSE)</f>
        <v>1.4</v>
      </c>
      <c r="AZ53" s="138">
        <f>VLOOKUP(X53,MeasureCost!$B$6:$Z$97,25,FALSE)</f>
        <v>5</v>
      </c>
      <c r="BA53" s="138">
        <v>3</v>
      </c>
      <c r="BC53" s="97">
        <f>VLOOKUP(X53,MeasureCost!$B$6:$W$97,22,FALSE)</f>
        <v>1656.8748000000003</v>
      </c>
      <c r="BD53" s="97">
        <f>VLOOKUP(X53,MeasureCost!$B$6:$W$97,20,FALSE)</f>
        <v>331.21440000000001</v>
      </c>
      <c r="BE53" s="97">
        <f t="shared" si="0"/>
        <v>2650.518</v>
      </c>
      <c r="BF53" s="97">
        <f>VLOOKUP(Y53,MeasureCost!$B$6:$W$97,22,FALSE)</f>
        <v>551.33880000000011</v>
      </c>
      <c r="BG53" s="97">
        <f>VLOOKUP(Y53,MeasureCost!$B$6:$W$97,20,FALSE)</f>
        <v>331.21440000000001</v>
      </c>
      <c r="BH53" s="97">
        <f t="shared" si="1"/>
        <v>1544.982</v>
      </c>
      <c r="BI53" s="82">
        <f t="shared" si="2"/>
        <v>368.512</v>
      </c>
      <c r="BJ53" s="110"/>
      <c r="BK53" s="110" t="str">
        <f t="shared" si="3"/>
        <v>NE-HVAC-airAC-Split-55to65kBtuh-18p0seer-wPreEcono</v>
      </c>
    </row>
    <row r="54" spans="1:63">
      <c r="A54" s="112">
        <v>847</v>
      </c>
      <c r="B54" s="112" t="s">
        <v>702</v>
      </c>
      <c r="C54" s="112" t="s">
        <v>703</v>
      </c>
      <c r="D54" s="112" t="s">
        <v>156</v>
      </c>
      <c r="E54" s="112" t="s">
        <v>617</v>
      </c>
      <c r="F54" s="114">
        <v>41920</v>
      </c>
      <c r="G54" s="112" t="s">
        <v>702</v>
      </c>
      <c r="H54" s="112" t="s">
        <v>545</v>
      </c>
      <c r="I54" s="112" t="s">
        <v>404</v>
      </c>
      <c r="J54" s="112" t="s">
        <v>618</v>
      </c>
      <c r="K54" s="110"/>
      <c r="L54" s="110"/>
      <c r="M54" s="112" t="s">
        <v>618</v>
      </c>
      <c r="N54" s="110"/>
      <c r="O54" s="112" t="b">
        <v>0</v>
      </c>
      <c r="P54" s="110"/>
      <c r="Q54" s="112" t="b">
        <v>0</v>
      </c>
      <c r="R54" s="112" t="s">
        <v>302</v>
      </c>
      <c r="S54" s="112" t="s">
        <v>531</v>
      </c>
      <c r="T54" s="112" t="s">
        <v>537</v>
      </c>
      <c r="U54" s="112" t="s">
        <v>538</v>
      </c>
      <c r="V54" s="112" t="s">
        <v>539</v>
      </c>
      <c r="W54" s="112" t="s">
        <v>547</v>
      </c>
      <c r="X54" s="110" t="str">
        <f>IFERROR(VLOOKUP(AF54,MeasureCost!$B$6:$B$80,1,FALSE),"")</f>
        <v>dxAC-Res-Split-SEER-15.0</v>
      </c>
      <c r="Y54" s="110" t="str">
        <f>IFERROR(VLOOKUP(AE54,MeasureCost!$B$6:$B$80,1,FALSE),"")</f>
        <v>dxAC-Res-Split-lt45kBTUh-SEER-14.0</v>
      </c>
      <c r="Z54" s="112" t="s">
        <v>704</v>
      </c>
      <c r="AA54" s="112" t="s">
        <v>705</v>
      </c>
      <c r="AB54" s="112" t="s">
        <v>706</v>
      </c>
      <c r="AC54" s="112" t="s">
        <v>703</v>
      </c>
      <c r="AD54" s="110"/>
      <c r="AE54" s="112" t="s">
        <v>307</v>
      </c>
      <c r="AF54" s="112" t="s">
        <v>313</v>
      </c>
      <c r="AG54" s="112" t="s">
        <v>621</v>
      </c>
      <c r="AH54" s="110"/>
      <c r="AI54" s="112" t="b">
        <v>0</v>
      </c>
      <c r="AJ54" s="112" t="b">
        <v>0</v>
      </c>
      <c r="AK54" s="110"/>
      <c r="AL54" s="112" t="s">
        <v>622</v>
      </c>
      <c r="AM54" s="112" t="s">
        <v>704</v>
      </c>
      <c r="AN54" s="110"/>
      <c r="AO54" s="112" t="s">
        <v>618</v>
      </c>
      <c r="AP54" s="114">
        <v>42005</v>
      </c>
      <c r="AQ54" s="110"/>
      <c r="AR54" s="112" t="s">
        <v>545</v>
      </c>
      <c r="AS54" s="110"/>
      <c r="AT54" s="110"/>
      <c r="AU54" s="110"/>
      <c r="AV54" s="110"/>
      <c r="AW54" s="112" t="s">
        <v>404</v>
      </c>
      <c r="AX54" s="110"/>
      <c r="AY54" s="138">
        <f>VLOOKUP(X54,MeasureCost!$B$6:$Z$97,24,FALSE)</f>
        <v>1.4</v>
      </c>
      <c r="AZ54" s="138">
        <f>VLOOKUP(X54,MeasureCost!$B$6:$Z$97,25,FALSE)</f>
        <v>5</v>
      </c>
      <c r="BA54" s="138">
        <v>3</v>
      </c>
      <c r="BC54" s="97">
        <f>VLOOKUP(X54,MeasureCost!$B$6:$W$97,22,FALSE)</f>
        <v>827.72279999999967</v>
      </c>
      <c r="BD54" s="97">
        <f>VLOOKUP(X54,MeasureCost!$B$6:$W$97,20,FALSE)</f>
        <v>331.21440000000001</v>
      </c>
      <c r="BE54" s="97">
        <f t="shared" si="0"/>
        <v>1821.3659999999995</v>
      </c>
      <c r="BF54" s="97">
        <f>VLOOKUP(Y54,MeasureCost!$B$6:$W$97,22,FALSE)</f>
        <v>551.33880000000011</v>
      </c>
      <c r="BG54" s="97">
        <f>VLOOKUP(Y54,MeasureCost!$B$6:$W$97,20,FALSE)</f>
        <v>331.21440000000001</v>
      </c>
      <c r="BH54" s="97">
        <f t="shared" si="1"/>
        <v>1544.982</v>
      </c>
      <c r="BI54" s="82">
        <f t="shared" si="2"/>
        <v>92.127999999999858</v>
      </c>
      <c r="BJ54" s="110"/>
      <c r="BK54" s="110" t="str">
        <f t="shared" si="3"/>
        <v>RE-HV-ResAC-lt45kBtuh-15S</v>
      </c>
    </row>
    <row r="55" spans="1:63">
      <c r="A55" s="112">
        <v>848</v>
      </c>
      <c r="B55" s="112" t="s">
        <v>707</v>
      </c>
      <c r="C55" s="112" t="s">
        <v>708</v>
      </c>
      <c r="D55" s="112" t="s">
        <v>156</v>
      </c>
      <c r="E55" s="112" t="s">
        <v>617</v>
      </c>
      <c r="F55" s="114">
        <v>41920</v>
      </c>
      <c r="G55" s="112" t="s">
        <v>707</v>
      </c>
      <c r="H55" s="112" t="s">
        <v>545</v>
      </c>
      <c r="I55" s="112" t="s">
        <v>404</v>
      </c>
      <c r="J55" s="112" t="s">
        <v>618</v>
      </c>
      <c r="K55" s="110"/>
      <c r="L55" s="110"/>
      <c r="M55" s="112" t="s">
        <v>618</v>
      </c>
      <c r="N55" s="110"/>
      <c r="O55" s="112" t="b">
        <v>0</v>
      </c>
      <c r="P55" s="110"/>
      <c r="Q55" s="112" t="b">
        <v>0</v>
      </c>
      <c r="R55" s="112" t="s">
        <v>302</v>
      </c>
      <c r="S55" s="112" t="s">
        <v>531</v>
      </c>
      <c r="T55" s="112" t="s">
        <v>537</v>
      </c>
      <c r="U55" s="112" t="s">
        <v>538</v>
      </c>
      <c r="V55" s="112" t="s">
        <v>539</v>
      </c>
      <c r="W55" s="112" t="s">
        <v>547</v>
      </c>
      <c r="X55" s="110" t="str">
        <f>IFERROR(VLOOKUP(AF55,MeasureCost!$B$6:$B$80,1,FALSE),"")</f>
        <v>dxAC-Res-Split-SEER-16.0</v>
      </c>
      <c r="Y55" s="110" t="str">
        <f>IFERROR(VLOOKUP(AE55,MeasureCost!$B$6:$B$80,1,FALSE),"")</f>
        <v>dxAC-Res-Split-lt45kBTUh-SEER-14.0</v>
      </c>
      <c r="Z55" s="112" t="s">
        <v>704</v>
      </c>
      <c r="AA55" s="112" t="s">
        <v>705</v>
      </c>
      <c r="AB55" s="112" t="s">
        <v>706</v>
      </c>
      <c r="AC55" s="112" t="s">
        <v>708</v>
      </c>
      <c r="AD55" s="110"/>
      <c r="AE55" s="112" t="s">
        <v>307</v>
      </c>
      <c r="AF55" s="112" t="s">
        <v>315</v>
      </c>
      <c r="AG55" s="112" t="s">
        <v>621</v>
      </c>
      <c r="AH55" s="110"/>
      <c r="AI55" s="112" t="b">
        <v>0</v>
      </c>
      <c r="AJ55" s="112" t="b">
        <v>0</v>
      </c>
      <c r="AK55" s="110"/>
      <c r="AL55" s="112" t="s">
        <v>622</v>
      </c>
      <c r="AM55" s="112" t="s">
        <v>704</v>
      </c>
      <c r="AN55" s="110"/>
      <c r="AO55" s="112" t="s">
        <v>618</v>
      </c>
      <c r="AP55" s="114">
        <v>42005</v>
      </c>
      <c r="AQ55" s="110"/>
      <c r="AR55" s="112" t="s">
        <v>545</v>
      </c>
      <c r="AS55" s="110"/>
      <c r="AT55" s="110"/>
      <c r="AU55" s="110"/>
      <c r="AV55" s="110"/>
      <c r="AW55" s="112" t="s">
        <v>404</v>
      </c>
      <c r="AX55" s="110"/>
      <c r="AY55" s="138">
        <f>VLOOKUP(X55,MeasureCost!$B$6:$Z$97,24,FALSE)</f>
        <v>1.4</v>
      </c>
      <c r="AZ55" s="138">
        <f>VLOOKUP(X55,MeasureCost!$B$6:$Z$97,25,FALSE)</f>
        <v>5</v>
      </c>
      <c r="BA55" s="138">
        <v>3</v>
      </c>
      <c r="BC55" s="97">
        <f>VLOOKUP(X55,MeasureCost!$B$6:$W$97,22,FALSE)</f>
        <v>1104.1067999999998</v>
      </c>
      <c r="BD55" s="97">
        <f>VLOOKUP(X55,MeasureCost!$B$6:$W$97,20,FALSE)</f>
        <v>331.21440000000001</v>
      </c>
      <c r="BE55" s="97">
        <f t="shared" si="0"/>
        <v>2097.75</v>
      </c>
      <c r="BF55" s="97">
        <f>VLOOKUP(Y55,MeasureCost!$B$6:$W$97,22,FALSE)</f>
        <v>551.33880000000011</v>
      </c>
      <c r="BG55" s="97">
        <f>VLOOKUP(Y55,MeasureCost!$B$6:$W$97,20,FALSE)</f>
        <v>331.21440000000001</v>
      </c>
      <c r="BH55" s="97">
        <f t="shared" si="1"/>
        <v>1544.982</v>
      </c>
      <c r="BI55" s="82">
        <f t="shared" si="2"/>
        <v>184.256</v>
      </c>
      <c r="BJ55" s="110"/>
      <c r="BK55" s="110" t="str">
        <f t="shared" si="3"/>
        <v>RE-HV-ResAC-lt45kBtuh-16S</v>
      </c>
    </row>
    <row r="56" spans="1:63">
      <c r="A56" s="112">
        <v>849</v>
      </c>
      <c r="B56" s="112" t="s">
        <v>709</v>
      </c>
      <c r="C56" s="112" t="s">
        <v>710</v>
      </c>
      <c r="D56" s="112" t="s">
        <v>156</v>
      </c>
      <c r="E56" s="112" t="s">
        <v>617</v>
      </c>
      <c r="F56" s="114">
        <v>41920</v>
      </c>
      <c r="G56" s="112" t="s">
        <v>709</v>
      </c>
      <c r="H56" s="112" t="s">
        <v>545</v>
      </c>
      <c r="I56" s="112" t="s">
        <v>404</v>
      </c>
      <c r="J56" s="112" t="s">
        <v>618</v>
      </c>
      <c r="K56" s="110"/>
      <c r="L56" s="110"/>
      <c r="M56" s="112" t="s">
        <v>618</v>
      </c>
      <c r="N56" s="110"/>
      <c r="O56" s="112" t="b">
        <v>0</v>
      </c>
      <c r="P56" s="110"/>
      <c r="Q56" s="112" t="b">
        <v>0</v>
      </c>
      <c r="R56" s="112" t="s">
        <v>302</v>
      </c>
      <c r="S56" s="112" t="s">
        <v>531</v>
      </c>
      <c r="T56" s="112" t="s">
        <v>537</v>
      </c>
      <c r="U56" s="112" t="s">
        <v>538</v>
      </c>
      <c r="V56" s="112" t="s">
        <v>539</v>
      </c>
      <c r="W56" s="112" t="s">
        <v>547</v>
      </c>
      <c r="X56" s="110" t="str">
        <f>IFERROR(VLOOKUP(AF56,MeasureCost!$B$6:$B$80,1,FALSE),"")</f>
        <v>dxAC-Res-Split-SEER-17.0</v>
      </c>
      <c r="Y56" s="110" t="str">
        <f>IFERROR(VLOOKUP(AE56,MeasureCost!$B$6:$B$80,1,FALSE),"")</f>
        <v>dxAC-Res-Split-lt45kBTUh-SEER-14.0</v>
      </c>
      <c r="Z56" s="112" t="s">
        <v>704</v>
      </c>
      <c r="AA56" s="112" t="s">
        <v>705</v>
      </c>
      <c r="AB56" s="112" t="s">
        <v>706</v>
      </c>
      <c r="AC56" s="112" t="s">
        <v>710</v>
      </c>
      <c r="AD56" s="110"/>
      <c r="AE56" s="112" t="s">
        <v>307</v>
      </c>
      <c r="AF56" s="112" t="s">
        <v>317</v>
      </c>
      <c r="AG56" s="112" t="s">
        <v>621</v>
      </c>
      <c r="AH56" s="110"/>
      <c r="AI56" s="112" t="b">
        <v>0</v>
      </c>
      <c r="AJ56" s="112" t="b">
        <v>0</v>
      </c>
      <c r="AK56" s="110"/>
      <c r="AL56" s="112" t="s">
        <v>622</v>
      </c>
      <c r="AM56" s="112" t="s">
        <v>704</v>
      </c>
      <c r="AN56" s="110"/>
      <c r="AO56" s="112" t="s">
        <v>618</v>
      </c>
      <c r="AP56" s="114">
        <v>42005</v>
      </c>
      <c r="AQ56" s="110"/>
      <c r="AR56" s="112" t="s">
        <v>545</v>
      </c>
      <c r="AS56" s="110"/>
      <c r="AT56" s="110"/>
      <c r="AU56" s="110"/>
      <c r="AV56" s="110"/>
      <c r="AW56" s="112" t="s">
        <v>404</v>
      </c>
      <c r="AX56" s="110"/>
      <c r="AY56" s="138">
        <f>VLOOKUP(X56,MeasureCost!$B$6:$Z$97,24,FALSE)</f>
        <v>1.4</v>
      </c>
      <c r="AZ56" s="138">
        <f>VLOOKUP(X56,MeasureCost!$B$6:$Z$97,25,FALSE)</f>
        <v>5</v>
      </c>
      <c r="BA56" s="138">
        <v>3</v>
      </c>
      <c r="BC56" s="97">
        <f>VLOOKUP(X56,MeasureCost!$B$6:$W$97,22,FALSE)</f>
        <v>1380.4908</v>
      </c>
      <c r="BD56" s="97">
        <f>VLOOKUP(X56,MeasureCost!$B$6:$W$97,20,FALSE)</f>
        <v>331.21440000000001</v>
      </c>
      <c r="BE56" s="97">
        <f t="shared" si="0"/>
        <v>2374.134</v>
      </c>
      <c r="BF56" s="97">
        <f>VLOOKUP(Y56,MeasureCost!$B$6:$W$97,22,FALSE)</f>
        <v>551.33880000000011</v>
      </c>
      <c r="BG56" s="97">
        <f>VLOOKUP(Y56,MeasureCost!$B$6:$W$97,20,FALSE)</f>
        <v>331.21440000000001</v>
      </c>
      <c r="BH56" s="97">
        <f t="shared" si="1"/>
        <v>1544.982</v>
      </c>
      <c r="BI56" s="82">
        <f t="shared" si="2"/>
        <v>276.38400000000001</v>
      </c>
      <c r="BJ56" s="110"/>
      <c r="BK56" s="110" t="str">
        <f t="shared" si="3"/>
        <v>RE-HV-ResAC-lt45kBtuh-17S</v>
      </c>
    </row>
    <row r="57" spans="1:63">
      <c r="A57" s="112">
        <v>850</v>
      </c>
      <c r="B57" s="112" t="s">
        <v>711</v>
      </c>
      <c r="C57" s="112" t="s">
        <v>712</v>
      </c>
      <c r="D57" s="112" t="s">
        <v>156</v>
      </c>
      <c r="E57" s="112" t="s">
        <v>617</v>
      </c>
      <c r="F57" s="114">
        <v>41920</v>
      </c>
      <c r="G57" s="112" t="s">
        <v>711</v>
      </c>
      <c r="H57" s="112" t="s">
        <v>545</v>
      </c>
      <c r="I57" s="112" t="s">
        <v>404</v>
      </c>
      <c r="J57" s="112" t="s">
        <v>618</v>
      </c>
      <c r="K57" s="110"/>
      <c r="L57" s="110"/>
      <c r="M57" s="112" t="s">
        <v>618</v>
      </c>
      <c r="N57" s="110"/>
      <c r="O57" s="112" t="b">
        <v>0</v>
      </c>
      <c r="P57" s="110"/>
      <c r="Q57" s="112" t="b">
        <v>0</v>
      </c>
      <c r="R57" s="112" t="s">
        <v>302</v>
      </c>
      <c r="S57" s="112" t="s">
        <v>531</v>
      </c>
      <c r="T57" s="112" t="s">
        <v>537</v>
      </c>
      <c r="U57" s="112" t="s">
        <v>538</v>
      </c>
      <c r="V57" s="112" t="s">
        <v>539</v>
      </c>
      <c r="W57" s="112" t="s">
        <v>547</v>
      </c>
      <c r="X57" s="110" t="str">
        <f>IFERROR(VLOOKUP(AF57,MeasureCost!$B$6:$B$80,1,FALSE),"")</f>
        <v>dxAC-Res-Split-SEER-18.0</v>
      </c>
      <c r="Y57" s="110" t="str">
        <f>IFERROR(VLOOKUP(AE57,MeasureCost!$B$6:$B$80,1,FALSE),"")</f>
        <v>dxAC-Res-Split-lt45kBTUh-SEER-14.0</v>
      </c>
      <c r="Z57" s="112" t="s">
        <v>704</v>
      </c>
      <c r="AA57" s="112" t="s">
        <v>705</v>
      </c>
      <c r="AB57" s="112" t="s">
        <v>706</v>
      </c>
      <c r="AC57" s="112" t="s">
        <v>712</v>
      </c>
      <c r="AD57" s="110"/>
      <c r="AE57" s="112" t="s">
        <v>307</v>
      </c>
      <c r="AF57" s="112" t="s">
        <v>319</v>
      </c>
      <c r="AG57" s="112" t="s">
        <v>621</v>
      </c>
      <c r="AH57" s="110"/>
      <c r="AI57" s="112" t="b">
        <v>0</v>
      </c>
      <c r="AJ57" s="112" t="b">
        <v>0</v>
      </c>
      <c r="AK57" s="110"/>
      <c r="AL57" s="112" t="s">
        <v>622</v>
      </c>
      <c r="AM57" s="112" t="s">
        <v>704</v>
      </c>
      <c r="AN57" s="110"/>
      <c r="AO57" s="112" t="s">
        <v>618</v>
      </c>
      <c r="AP57" s="114">
        <v>42005</v>
      </c>
      <c r="AQ57" s="110"/>
      <c r="AR57" s="112" t="s">
        <v>545</v>
      </c>
      <c r="AS57" s="110"/>
      <c r="AT57" s="110"/>
      <c r="AU57" s="110"/>
      <c r="AV57" s="110"/>
      <c r="AW57" s="112" t="s">
        <v>404</v>
      </c>
      <c r="AX57" s="110"/>
      <c r="AY57" s="138">
        <f>VLOOKUP(X57,MeasureCost!$B$6:$Z$97,24,FALSE)</f>
        <v>1.4</v>
      </c>
      <c r="AZ57" s="138">
        <f>VLOOKUP(X57,MeasureCost!$B$6:$Z$97,25,FALSE)</f>
        <v>5</v>
      </c>
      <c r="BA57" s="138">
        <v>3</v>
      </c>
      <c r="BC57" s="97">
        <f>VLOOKUP(X57,MeasureCost!$B$6:$W$97,22,FALSE)</f>
        <v>1656.8748000000003</v>
      </c>
      <c r="BD57" s="97">
        <f>VLOOKUP(X57,MeasureCost!$B$6:$W$97,20,FALSE)</f>
        <v>331.21440000000001</v>
      </c>
      <c r="BE57" s="97">
        <f t="shared" si="0"/>
        <v>2650.518</v>
      </c>
      <c r="BF57" s="97">
        <f>VLOOKUP(Y57,MeasureCost!$B$6:$W$97,22,FALSE)</f>
        <v>551.33880000000011</v>
      </c>
      <c r="BG57" s="97">
        <f>VLOOKUP(Y57,MeasureCost!$B$6:$W$97,20,FALSE)</f>
        <v>331.21440000000001</v>
      </c>
      <c r="BH57" s="97">
        <f t="shared" si="1"/>
        <v>1544.982</v>
      </c>
      <c r="BI57" s="82">
        <f t="shared" si="2"/>
        <v>368.512</v>
      </c>
      <c r="BJ57" s="110"/>
      <c r="BK57" s="110" t="str">
        <f t="shared" si="3"/>
        <v>RE-HV-ResAC-lt45kBtuh-18S</v>
      </c>
    </row>
    <row r="58" spans="1:63">
      <c r="A58" s="112">
        <v>851</v>
      </c>
      <c r="B58" s="112" t="s">
        <v>713</v>
      </c>
      <c r="C58" s="112" t="s">
        <v>714</v>
      </c>
      <c r="D58" s="112" t="s">
        <v>156</v>
      </c>
      <c r="E58" s="112" t="s">
        <v>617</v>
      </c>
      <c r="F58" s="114">
        <v>41920</v>
      </c>
      <c r="G58" s="112" t="s">
        <v>713</v>
      </c>
      <c r="H58" s="112" t="s">
        <v>545</v>
      </c>
      <c r="I58" s="112" t="s">
        <v>404</v>
      </c>
      <c r="J58" s="112" t="s">
        <v>618</v>
      </c>
      <c r="K58" s="110"/>
      <c r="L58" s="110"/>
      <c r="M58" s="112" t="s">
        <v>618</v>
      </c>
      <c r="N58" s="110"/>
      <c r="O58" s="112" t="b">
        <v>0</v>
      </c>
      <c r="P58" s="110"/>
      <c r="Q58" s="112" t="b">
        <v>0</v>
      </c>
      <c r="R58" s="112" t="s">
        <v>302</v>
      </c>
      <c r="S58" s="112" t="s">
        <v>531</v>
      </c>
      <c r="T58" s="112" t="s">
        <v>537</v>
      </c>
      <c r="U58" s="112" t="s">
        <v>538</v>
      </c>
      <c r="V58" s="112" t="s">
        <v>539</v>
      </c>
      <c r="W58" s="112" t="s">
        <v>547</v>
      </c>
      <c r="X58" s="110" t="str">
        <f>IFERROR(VLOOKUP(AF58,MeasureCost!$B$6:$B$80,1,FALSE),"")</f>
        <v/>
      </c>
      <c r="Y58" s="110" t="str">
        <f>IFERROR(VLOOKUP(AE58,MeasureCost!$B$6:$B$80,1,FALSE),"")</f>
        <v>dxAC-Res-Split-lt45kBTUh-SEER-14.0</v>
      </c>
      <c r="Z58" s="112" t="s">
        <v>704</v>
      </c>
      <c r="AA58" s="112" t="s">
        <v>705</v>
      </c>
      <c r="AB58" s="112" t="s">
        <v>706</v>
      </c>
      <c r="AC58" s="112" t="s">
        <v>714</v>
      </c>
      <c r="AD58" s="110"/>
      <c r="AE58" s="112" t="s">
        <v>307</v>
      </c>
      <c r="AF58" s="112" t="s">
        <v>321</v>
      </c>
      <c r="AG58" s="112" t="s">
        <v>621</v>
      </c>
      <c r="AH58" s="110"/>
      <c r="AI58" s="112" t="b">
        <v>0</v>
      </c>
      <c r="AJ58" s="112" t="b">
        <v>0</v>
      </c>
      <c r="AK58" s="110"/>
      <c r="AL58" s="112" t="s">
        <v>622</v>
      </c>
      <c r="AM58" s="112" t="s">
        <v>704</v>
      </c>
      <c r="AN58" s="110"/>
      <c r="AO58" s="112" t="s">
        <v>618</v>
      </c>
      <c r="AP58" s="114">
        <v>42005</v>
      </c>
      <c r="AQ58" s="110"/>
      <c r="AR58" s="112" t="s">
        <v>545</v>
      </c>
      <c r="AS58" s="110"/>
      <c r="AT58" s="110"/>
      <c r="AU58" s="110"/>
      <c r="AV58" s="110"/>
      <c r="AW58" s="112" t="s">
        <v>404</v>
      </c>
      <c r="AX58" s="110"/>
      <c r="AY58" s="138"/>
      <c r="AZ58" s="138"/>
      <c r="BA58" s="138"/>
      <c r="BC58" s="110"/>
      <c r="BF58" s="110"/>
      <c r="BG58" s="110"/>
      <c r="BI58" s="110"/>
      <c r="BJ58" s="110"/>
      <c r="BK58" s="110"/>
    </row>
    <row r="59" spans="1:63">
      <c r="A59" s="112">
        <v>852</v>
      </c>
      <c r="B59" s="112" t="s">
        <v>715</v>
      </c>
      <c r="C59" s="112" t="s">
        <v>716</v>
      </c>
      <c r="D59" s="112" t="s">
        <v>156</v>
      </c>
      <c r="E59" s="112" t="s">
        <v>617</v>
      </c>
      <c r="F59" s="114">
        <v>41920</v>
      </c>
      <c r="G59" s="112" t="s">
        <v>715</v>
      </c>
      <c r="H59" s="112" t="s">
        <v>545</v>
      </c>
      <c r="I59" s="112" t="s">
        <v>404</v>
      </c>
      <c r="J59" s="112" t="s">
        <v>618</v>
      </c>
      <c r="K59" s="110"/>
      <c r="L59" s="110"/>
      <c r="M59" s="112" t="s">
        <v>618</v>
      </c>
      <c r="N59" s="110"/>
      <c r="O59" s="112" t="b">
        <v>0</v>
      </c>
      <c r="P59" s="110"/>
      <c r="Q59" s="112" t="b">
        <v>0</v>
      </c>
      <c r="R59" s="112" t="s">
        <v>302</v>
      </c>
      <c r="S59" s="112" t="s">
        <v>531</v>
      </c>
      <c r="T59" s="112" t="s">
        <v>537</v>
      </c>
      <c r="U59" s="112" t="s">
        <v>538</v>
      </c>
      <c r="V59" s="112" t="s">
        <v>539</v>
      </c>
      <c r="W59" s="112" t="s">
        <v>547</v>
      </c>
      <c r="X59" s="110" t="str">
        <f>IFERROR(VLOOKUP(AF59,MeasureCost!$B$6:$B$80,1,FALSE),"")</f>
        <v/>
      </c>
      <c r="Y59" s="110" t="str">
        <f>IFERROR(VLOOKUP(AE59,MeasureCost!$B$6:$B$80,1,FALSE),"")</f>
        <v>dxAC-Res-Split-lt45kBTUh-SEER-14.0</v>
      </c>
      <c r="Z59" s="112" t="s">
        <v>704</v>
      </c>
      <c r="AA59" s="112" t="s">
        <v>705</v>
      </c>
      <c r="AB59" s="112" t="s">
        <v>706</v>
      </c>
      <c r="AC59" s="112" t="s">
        <v>716</v>
      </c>
      <c r="AD59" s="110"/>
      <c r="AE59" s="112" t="s">
        <v>307</v>
      </c>
      <c r="AF59" s="112" t="s">
        <v>323</v>
      </c>
      <c r="AG59" s="112" t="s">
        <v>621</v>
      </c>
      <c r="AH59" s="110"/>
      <c r="AI59" s="112" t="b">
        <v>0</v>
      </c>
      <c r="AJ59" s="112" t="b">
        <v>0</v>
      </c>
      <c r="AK59" s="110"/>
      <c r="AL59" s="112" t="s">
        <v>622</v>
      </c>
      <c r="AM59" s="112" t="s">
        <v>704</v>
      </c>
      <c r="AN59" s="110"/>
      <c r="AO59" s="112" t="s">
        <v>618</v>
      </c>
      <c r="AP59" s="114">
        <v>42005</v>
      </c>
      <c r="AQ59" s="110"/>
      <c r="AR59" s="112" t="s">
        <v>545</v>
      </c>
      <c r="AS59" s="110"/>
      <c r="AT59" s="110"/>
      <c r="AU59" s="110"/>
      <c r="AV59" s="110"/>
      <c r="AW59" s="112" t="s">
        <v>404</v>
      </c>
      <c r="AX59" s="110"/>
      <c r="AY59" s="138"/>
      <c r="AZ59" s="138"/>
      <c r="BA59" s="138"/>
      <c r="BC59" s="110"/>
      <c r="BF59" s="110"/>
      <c r="BG59" s="110"/>
      <c r="BI59" s="110"/>
      <c r="BJ59" s="110"/>
      <c r="BK59" s="110"/>
    </row>
    <row r="60" spans="1:63">
      <c r="A60" s="112">
        <v>853</v>
      </c>
      <c r="B60" s="112" t="s">
        <v>717</v>
      </c>
      <c r="C60" s="112" t="s">
        <v>718</v>
      </c>
      <c r="D60" s="112" t="s">
        <v>156</v>
      </c>
      <c r="E60" s="112" t="s">
        <v>617</v>
      </c>
      <c r="F60" s="114">
        <v>41920</v>
      </c>
      <c r="G60" s="112" t="s">
        <v>717</v>
      </c>
      <c r="H60" s="112" t="s">
        <v>545</v>
      </c>
      <c r="I60" s="112" t="s">
        <v>404</v>
      </c>
      <c r="J60" s="112" t="s">
        <v>618</v>
      </c>
      <c r="K60" s="110"/>
      <c r="L60" s="110"/>
      <c r="M60" s="112" t="s">
        <v>618</v>
      </c>
      <c r="N60" s="110"/>
      <c r="O60" s="112" t="b">
        <v>0</v>
      </c>
      <c r="P60" s="110"/>
      <c r="Q60" s="112" t="b">
        <v>0</v>
      </c>
      <c r="R60" s="112" t="s">
        <v>302</v>
      </c>
      <c r="S60" s="112" t="s">
        <v>531</v>
      </c>
      <c r="T60" s="112" t="s">
        <v>537</v>
      </c>
      <c r="U60" s="112" t="s">
        <v>538</v>
      </c>
      <c r="V60" s="112" t="s">
        <v>539</v>
      </c>
      <c r="W60" s="112" t="s">
        <v>547</v>
      </c>
      <c r="X60" s="110" t="str">
        <f>IFERROR(VLOOKUP(AF60,MeasureCost!$B$6:$B$80,1,FALSE),"")</f>
        <v/>
      </c>
      <c r="Y60" s="110" t="str">
        <f>IFERROR(VLOOKUP(AE60,MeasureCost!$B$6:$B$80,1,FALSE),"")</f>
        <v>dxAC-Res-Split-lt45kBTUh-SEER-14.0</v>
      </c>
      <c r="Z60" s="112" t="s">
        <v>704</v>
      </c>
      <c r="AA60" s="112" t="s">
        <v>705</v>
      </c>
      <c r="AB60" s="112" t="s">
        <v>706</v>
      </c>
      <c r="AC60" s="112" t="s">
        <v>718</v>
      </c>
      <c r="AD60" s="110"/>
      <c r="AE60" s="112" t="s">
        <v>307</v>
      </c>
      <c r="AF60" s="112" t="s">
        <v>325</v>
      </c>
      <c r="AG60" s="112" t="s">
        <v>621</v>
      </c>
      <c r="AH60" s="110"/>
      <c r="AI60" s="112" t="b">
        <v>0</v>
      </c>
      <c r="AJ60" s="112" t="b">
        <v>0</v>
      </c>
      <c r="AK60" s="110"/>
      <c r="AL60" s="112" t="s">
        <v>622</v>
      </c>
      <c r="AM60" s="112" t="s">
        <v>704</v>
      </c>
      <c r="AN60" s="110"/>
      <c r="AO60" s="112" t="s">
        <v>618</v>
      </c>
      <c r="AP60" s="114">
        <v>42005</v>
      </c>
      <c r="AQ60" s="110"/>
      <c r="AR60" s="112" t="s">
        <v>545</v>
      </c>
      <c r="AS60" s="110"/>
      <c r="AT60" s="110"/>
      <c r="AU60" s="110"/>
      <c r="AV60" s="110"/>
      <c r="AW60" s="112" t="s">
        <v>404</v>
      </c>
      <c r="AX60" s="110"/>
      <c r="AY60" s="138"/>
      <c r="AZ60" s="138"/>
      <c r="BA60" s="138"/>
      <c r="BC60" s="110"/>
      <c r="BF60" s="110"/>
      <c r="BG60" s="110"/>
      <c r="BI60" s="110"/>
      <c r="BJ60" s="110"/>
      <c r="BK60" s="110"/>
    </row>
    <row r="61" spans="1:63">
      <c r="A61" s="112">
        <v>855</v>
      </c>
      <c r="B61" s="112" t="s">
        <v>719</v>
      </c>
      <c r="C61" s="112" t="s">
        <v>703</v>
      </c>
      <c r="D61" s="112" t="s">
        <v>156</v>
      </c>
      <c r="E61" s="112" t="s">
        <v>617</v>
      </c>
      <c r="F61" s="114">
        <v>41920</v>
      </c>
      <c r="G61" s="112" t="s">
        <v>719</v>
      </c>
      <c r="H61" s="112" t="s">
        <v>545</v>
      </c>
      <c r="I61" s="112" t="s">
        <v>404</v>
      </c>
      <c r="J61" s="112" t="s">
        <v>618</v>
      </c>
      <c r="K61" s="110"/>
      <c r="L61" s="110"/>
      <c r="M61" s="112" t="s">
        <v>618</v>
      </c>
      <c r="N61" s="110"/>
      <c r="O61" s="112" t="b">
        <v>0</v>
      </c>
      <c r="P61" s="110"/>
      <c r="Q61" s="112" t="b">
        <v>0</v>
      </c>
      <c r="R61" s="112" t="s">
        <v>302</v>
      </c>
      <c r="S61" s="112" t="s">
        <v>531</v>
      </c>
      <c r="T61" s="112" t="s">
        <v>537</v>
      </c>
      <c r="U61" s="112" t="s">
        <v>538</v>
      </c>
      <c r="V61" s="112" t="s">
        <v>539</v>
      </c>
      <c r="W61" s="112" t="s">
        <v>547</v>
      </c>
      <c r="X61" s="110" t="str">
        <f>IFERROR(VLOOKUP(AF61,MeasureCost!$B$6:$B$80,1,FALSE),"")</f>
        <v>dxAC-Res-Split-SEER-15.0</v>
      </c>
      <c r="Y61" s="110" t="str">
        <f>IFERROR(VLOOKUP(AE61,MeasureCost!$B$6:$B$80,1,FALSE),"")</f>
        <v>dxAC-Res-Split-45to65kBTUh-SEER-14.0</v>
      </c>
      <c r="Z61" s="112" t="s">
        <v>704</v>
      </c>
      <c r="AA61" s="112" t="s">
        <v>720</v>
      </c>
      <c r="AB61" s="112" t="s">
        <v>721</v>
      </c>
      <c r="AC61" s="112" t="s">
        <v>703</v>
      </c>
      <c r="AD61" s="110"/>
      <c r="AE61" s="112" t="s">
        <v>305</v>
      </c>
      <c r="AF61" s="112" t="s">
        <v>313</v>
      </c>
      <c r="AG61" s="112" t="s">
        <v>621</v>
      </c>
      <c r="AH61" s="110"/>
      <c r="AI61" s="112" t="b">
        <v>0</v>
      </c>
      <c r="AJ61" s="112" t="b">
        <v>0</v>
      </c>
      <c r="AK61" s="110"/>
      <c r="AL61" s="112" t="s">
        <v>622</v>
      </c>
      <c r="AM61" s="112" t="s">
        <v>704</v>
      </c>
      <c r="AN61" s="110"/>
      <c r="AO61" s="112" t="s">
        <v>618</v>
      </c>
      <c r="AP61" s="114">
        <v>42005</v>
      </c>
      <c r="AQ61" s="110"/>
      <c r="AR61" s="112" t="s">
        <v>545</v>
      </c>
      <c r="AS61" s="110"/>
      <c r="AT61" s="110"/>
      <c r="AU61" s="110"/>
      <c r="AV61" s="110"/>
      <c r="AW61" s="112" t="s">
        <v>404</v>
      </c>
      <c r="AX61" s="110"/>
      <c r="AY61" s="138">
        <f>VLOOKUP(X61,MeasureCost!$B$6:$Z$97,24,FALSE)</f>
        <v>1.4</v>
      </c>
      <c r="AZ61" s="138">
        <f>VLOOKUP(X61,MeasureCost!$B$6:$Z$97,25,FALSE)</f>
        <v>5</v>
      </c>
      <c r="BA61" s="138">
        <v>3</v>
      </c>
      <c r="BC61" s="97">
        <f>VLOOKUP(X61,MeasureCost!$B$6:$W$97,22,FALSE)</f>
        <v>827.72279999999967</v>
      </c>
      <c r="BD61" s="97">
        <f>VLOOKUP(X61,MeasureCost!$B$6:$W$97,20,FALSE)</f>
        <v>331.21440000000001</v>
      </c>
      <c r="BE61" s="97">
        <f>+BC61+BD61*BA61</f>
        <v>1821.3659999999995</v>
      </c>
      <c r="BF61" s="97">
        <f>VLOOKUP(Y61,MeasureCost!$B$6:$W$97,22,FALSE)</f>
        <v>551.33880000000011</v>
      </c>
      <c r="BG61" s="97">
        <f>VLOOKUP(Y61,MeasureCost!$B$6:$W$97,20,FALSE)</f>
        <v>331.21440000000001</v>
      </c>
      <c r="BH61" s="97">
        <f>+BF61+BG61*BA61</f>
        <v>1544.982</v>
      </c>
      <c r="BI61" s="82">
        <f>+(BE61-BH61)/BA61</f>
        <v>92.127999999999858</v>
      </c>
      <c r="BJ61" s="110"/>
      <c r="BK61" s="110" t="str">
        <f>+B61</f>
        <v>RE-HV-ResAC-45to65kBtuh-15S</v>
      </c>
    </row>
    <row r="62" spans="1:63">
      <c r="A62" s="112">
        <v>856</v>
      </c>
      <c r="B62" s="112" t="s">
        <v>722</v>
      </c>
      <c r="C62" s="112" t="s">
        <v>708</v>
      </c>
      <c r="D62" s="112" t="s">
        <v>156</v>
      </c>
      <c r="E62" s="112" t="s">
        <v>617</v>
      </c>
      <c r="F62" s="114">
        <v>41920</v>
      </c>
      <c r="G62" s="112" t="s">
        <v>722</v>
      </c>
      <c r="H62" s="112" t="s">
        <v>545</v>
      </c>
      <c r="I62" s="112" t="s">
        <v>404</v>
      </c>
      <c r="J62" s="112" t="s">
        <v>618</v>
      </c>
      <c r="K62" s="110"/>
      <c r="L62" s="110"/>
      <c r="M62" s="112" t="s">
        <v>618</v>
      </c>
      <c r="N62" s="110"/>
      <c r="O62" s="112" t="b">
        <v>0</v>
      </c>
      <c r="P62" s="110"/>
      <c r="Q62" s="112" t="b">
        <v>0</v>
      </c>
      <c r="R62" s="112" t="s">
        <v>302</v>
      </c>
      <c r="S62" s="112" t="s">
        <v>531</v>
      </c>
      <c r="T62" s="112" t="s">
        <v>537</v>
      </c>
      <c r="U62" s="112" t="s">
        <v>538</v>
      </c>
      <c r="V62" s="112" t="s">
        <v>539</v>
      </c>
      <c r="W62" s="112" t="s">
        <v>547</v>
      </c>
      <c r="X62" s="110" t="str">
        <f>IFERROR(VLOOKUP(AF62,MeasureCost!$B$6:$B$80,1,FALSE),"")</f>
        <v>dxAC-Res-Split-SEER-16.0</v>
      </c>
      <c r="Y62" s="110" t="str">
        <f>IFERROR(VLOOKUP(AE62,MeasureCost!$B$6:$B$80,1,FALSE),"")</f>
        <v>dxAC-Res-Split-45to65kBTUh-SEER-14.0</v>
      </c>
      <c r="Z62" s="112" t="s">
        <v>704</v>
      </c>
      <c r="AA62" s="112" t="s">
        <v>720</v>
      </c>
      <c r="AB62" s="112" t="s">
        <v>721</v>
      </c>
      <c r="AC62" s="112" t="s">
        <v>708</v>
      </c>
      <c r="AD62" s="110"/>
      <c r="AE62" s="112" t="s">
        <v>305</v>
      </c>
      <c r="AF62" s="112" t="s">
        <v>315</v>
      </c>
      <c r="AG62" s="112" t="s">
        <v>621</v>
      </c>
      <c r="AH62" s="110"/>
      <c r="AI62" s="112" t="b">
        <v>0</v>
      </c>
      <c r="AJ62" s="112" t="b">
        <v>0</v>
      </c>
      <c r="AK62" s="110"/>
      <c r="AL62" s="112" t="s">
        <v>622</v>
      </c>
      <c r="AM62" s="112" t="s">
        <v>704</v>
      </c>
      <c r="AN62" s="110"/>
      <c r="AO62" s="112" t="s">
        <v>618</v>
      </c>
      <c r="AP62" s="114">
        <v>42005</v>
      </c>
      <c r="AQ62" s="110"/>
      <c r="AR62" s="112" t="s">
        <v>545</v>
      </c>
      <c r="AS62" s="110"/>
      <c r="AT62" s="110"/>
      <c r="AU62" s="110"/>
      <c r="AV62" s="110"/>
      <c r="AW62" s="112" t="s">
        <v>404</v>
      </c>
      <c r="AX62" s="110"/>
      <c r="AY62" s="138">
        <f>VLOOKUP(X62,MeasureCost!$B$6:$Z$97,24,FALSE)</f>
        <v>1.4</v>
      </c>
      <c r="AZ62" s="138">
        <f>VLOOKUP(X62,MeasureCost!$B$6:$Z$97,25,FALSE)</f>
        <v>5</v>
      </c>
      <c r="BA62" s="138">
        <v>3</v>
      </c>
      <c r="BC62" s="97">
        <f>VLOOKUP(X62,MeasureCost!$B$6:$W$97,22,FALSE)</f>
        <v>1104.1067999999998</v>
      </c>
      <c r="BD62" s="97">
        <f>VLOOKUP(X62,MeasureCost!$B$6:$W$97,20,FALSE)</f>
        <v>331.21440000000001</v>
      </c>
      <c r="BE62" s="97">
        <f>+BC62+BD62*BA62</f>
        <v>2097.75</v>
      </c>
      <c r="BF62" s="97">
        <f>VLOOKUP(Y62,MeasureCost!$B$6:$W$97,22,FALSE)</f>
        <v>551.33880000000011</v>
      </c>
      <c r="BG62" s="97">
        <f>VLOOKUP(Y62,MeasureCost!$B$6:$W$97,20,FALSE)</f>
        <v>331.21440000000001</v>
      </c>
      <c r="BH62" s="97">
        <f>+BF62+BG62*BA62</f>
        <v>1544.982</v>
      </c>
      <c r="BI62" s="82">
        <f>+(BE62-BH62)/BA62</f>
        <v>184.256</v>
      </c>
      <c r="BJ62" s="110"/>
      <c r="BK62" s="110" t="str">
        <f>+B62</f>
        <v>RE-HV-ResAC-45to65kBtuh-16S</v>
      </c>
    </row>
    <row r="63" spans="1:63">
      <c r="A63" s="112">
        <v>857</v>
      </c>
      <c r="B63" s="112" t="s">
        <v>723</v>
      </c>
      <c r="C63" s="112" t="s">
        <v>710</v>
      </c>
      <c r="D63" s="112" t="s">
        <v>156</v>
      </c>
      <c r="E63" s="112" t="s">
        <v>617</v>
      </c>
      <c r="F63" s="114">
        <v>41920</v>
      </c>
      <c r="G63" s="112" t="s">
        <v>723</v>
      </c>
      <c r="H63" s="112" t="s">
        <v>545</v>
      </c>
      <c r="I63" s="112" t="s">
        <v>404</v>
      </c>
      <c r="J63" s="112" t="s">
        <v>618</v>
      </c>
      <c r="K63" s="110"/>
      <c r="L63" s="110"/>
      <c r="M63" s="112" t="s">
        <v>618</v>
      </c>
      <c r="N63" s="110"/>
      <c r="O63" s="112" t="b">
        <v>0</v>
      </c>
      <c r="P63" s="110"/>
      <c r="Q63" s="112" t="b">
        <v>0</v>
      </c>
      <c r="R63" s="112" t="s">
        <v>302</v>
      </c>
      <c r="S63" s="112" t="s">
        <v>531</v>
      </c>
      <c r="T63" s="112" t="s">
        <v>537</v>
      </c>
      <c r="U63" s="112" t="s">
        <v>538</v>
      </c>
      <c r="V63" s="112" t="s">
        <v>539</v>
      </c>
      <c r="W63" s="112" t="s">
        <v>547</v>
      </c>
      <c r="X63" s="110" t="str">
        <f>IFERROR(VLOOKUP(AF63,MeasureCost!$B$6:$B$80,1,FALSE),"")</f>
        <v>dxAC-Res-Split-SEER-17.0</v>
      </c>
      <c r="Y63" s="110" t="str">
        <f>IFERROR(VLOOKUP(AE63,MeasureCost!$B$6:$B$80,1,FALSE),"")</f>
        <v>dxAC-Res-Split-45to65kBTUh-SEER-14.0</v>
      </c>
      <c r="Z63" s="112" t="s">
        <v>704</v>
      </c>
      <c r="AA63" s="112" t="s">
        <v>720</v>
      </c>
      <c r="AB63" s="112" t="s">
        <v>721</v>
      </c>
      <c r="AC63" s="112" t="s">
        <v>710</v>
      </c>
      <c r="AD63" s="110"/>
      <c r="AE63" s="112" t="s">
        <v>305</v>
      </c>
      <c r="AF63" s="112" t="s">
        <v>317</v>
      </c>
      <c r="AG63" s="112" t="s">
        <v>621</v>
      </c>
      <c r="AH63" s="110"/>
      <c r="AI63" s="112" t="b">
        <v>0</v>
      </c>
      <c r="AJ63" s="112" t="b">
        <v>0</v>
      </c>
      <c r="AK63" s="110"/>
      <c r="AL63" s="112" t="s">
        <v>622</v>
      </c>
      <c r="AM63" s="112" t="s">
        <v>704</v>
      </c>
      <c r="AN63" s="110"/>
      <c r="AO63" s="112" t="s">
        <v>618</v>
      </c>
      <c r="AP63" s="114">
        <v>42005</v>
      </c>
      <c r="AQ63" s="110"/>
      <c r="AR63" s="112" t="s">
        <v>545</v>
      </c>
      <c r="AS63" s="110"/>
      <c r="AT63" s="110"/>
      <c r="AU63" s="110"/>
      <c r="AV63" s="110"/>
      <c r="AW63" s="112" t="s">
        <v>404</v>
      </c>
      <c r="AX63" s="110"/>
      <c r="AY63" s="138">
        <f>VLOOKUP(X63,MeasureCost!$B$6:$Z$97,24,FALSE)</f>
        <v>1.4</v>
      </c>
      <c r="AZ63" s="138">
        <f>VLOOKUP(X63,MeasureCost!$B$6:$Z$97,25,FALSE)</f>
        <v>5</v>
      </c>
      <c r="BA63" s="138">
        <v>3</v>
      </c>
      <c r="BC63" s="97">
        <f>VLOOKUP(X63,MeasureCost!$B$6:$W$97,22,FALSE)</f>
        <v>1380.4908</v>
      </c>
      <c r="BD63" s="97">
        <f>VLOOKUP(X63,MeasureCost!$B$6:$W$97,20,FALSE)</f>
        <v>331.21440000000001</v>
      </c>
      <c r="BE63" s="97">
        <f>+BC63+BD63*BA63</f>
        <v>2374.134</v>
      </c>
      <c r="BF63" s="97">
        <f>VLOOKUP(Y63,MeasureCost!$B$6:$W$97,22,FALSE)</f>
        <v>551.33880000000011</v>
      </c>
      <c r="BG63" s="97">
        <f>VLOOKUP(Y63,MeasureCost!$B$6:$W$97,20,FALSE)</f>
        <v>331.21440000000001</v>
      </c>
      <c r="BH63" s="97">
        <f>+BF63+BG63*BA63</f>
        <v>1544.982</v>
      </c>
      <c r="BI63" s="82">
        <f>+(BE63-BH63)/BA63</f>
        <v>276.38400000000001</v>
      </c>
      <c r="BJ63" s="110"/>
      <c r="BK63" s="110" t="str">
        <f>+B63</f>
        <v>RE-HV-ResAC-45to65kBtuh-17S</v>
      </c>
    </row>
    <row r="64" spans="1:63">
      <c r="A64" s="112">
        <v>858</v>
      </c>
      <c r="B64" s="112" t="s">
        <v>724</v>
      </c>
      <c r="C64" s="112" t="s">
        <v>712</v>
      </c>
      <c r="D64" s="112" t="s">
        <v>156</v>
      </c>
      <c r="E64" s="112" t="s">
        <v>617</v>
      </c>
      <c r="F64" s="114">
        <v>41920</v>
      </c>
      <c r="G64" s="112" t="s">
        <v>724</v>
      </c>
      <c r="H64" s="112" t="s">
        <v>545</v>
      </c>
      <c r="I64" s="112" t="s">
        <v>404</v>
      </c>
      <c r="J64" s="112" t="s">
        <v>618</v>
      </c>
      <c r="K64" s="110"/>
      <c r="L64" s="110"/>
      <c r="M64" s="112" t="s">
        <v>618</v>
      </c>
      <c r="N64" s="110"/>
      <c r="O64" s="112" t="b">
        <v>0</v>
      </c>
      <c r="P64" s="110"/>
      <c r="Q64" s="112" t="b">
        <v>0</v>
      </c>
      <c r="R64" s="112" t="s">
        <v>302</v>
      </c>
      <c r="S64" s="112" t="s">
        <v>531</v>
      </c>
      <c r="T64" s="112" t="s">
        <v>537</v>
      </c>
      <c r="U64" s="112" t="s">
        <v>538</v>
      </c>
      <c r="V64" s="112" t="s">
        <v>539</v>
      </c>
      <c r="W64" s="112" t="s">
        <v>547</v>
      </c>
      <c r="X64" s="110" t="str">
        <f>IFERROR(VLOOKUP(AF64,MeasureCost!$B$6:$B$80,1,FALSE),"")</f>
        <v>dxAC-Res-Split-SEER-18.0</v>
      </c>
      <c r="Y64" s="110" t="str">
        <f>IFERROR(VLOOKUP(AE64,MeasureCost!$B$6:$B$80,1,FALSE),"")</f>
        <v>dxAC-Res-Split-45to65kBTUh-SEER-14.0</v>
      </c>
      <c r="Z64" s="112" t="s">
        <v>704</v>
      </c>
      <c r="AA64" s="112" t="s">
        <v>720</v>
      </c>
      <c r="AB64" s="112" t="s">
        <v>721</v>
      </c>
      <c r="AC64" s="112" t="s">
        <v>712</v>
      </c>
      <c r="AD64" s="110"/>
      <c r="AE64" s="112" t="s">
        <v>305</v>
      </c>
      <c r="AF64" s="112" t="s">
        <v>319</v>
      </c>
      <c r="AG64" s="112" t="s">
        <v>621</v>
      </c>
      <c r="AH64" s="110"/>
      <c r="AI64" s="112" t="b">
        <v>0</v>
      </c>
      <c r="AJ64" s="112" t="b">
        <v>0</v>
      </c>
      <c r="AK64" s="110"/>
      <c r="AL64" s="112" t="s">
        <v>622</v>
      </c>
      <c r="AM64" s="112" t="s">
        <v>704</v>
      </c>
      <c r="AN64" s="110"/>
      <c r="AO64" s="112" t="s">
        <v>618</v>
      </c>
      <c r="AP64" s="114">
        <v>42005</v>
      </c>
      <c r="AQ64" s="110"/>
      <c r="AR64" s="112" t="s">
        <v>545</v>
      </c>
      <c r="AS64" s="110"/>
      <c r="AT64" s="110"/>
      <c r="AU64" s="110"/>
      <c r="AV64" s="110"/>
      <c r="AW64" s="112" t="s">
        <v>404</v>
      </c>
      <c r="AX64" s="110"/>
      <c r="AY64" s="138">
        <f>VLOOKUP(X64,MeasureCost!$B$6:$Z$97,24,FALSE)</f>
        <v>1.4</v>
      </c>
      <c r="AZ64" s="138">
        <f>VLOOKUP(X64,MeasureCost!$B$6:$Z$97,25,FALSE)</f>
        <v>5</v>
      </c>
      <c r="BA64" s="138">
        <v>3</v>
      </c>
      <c r="BC64" s="97">
        <f>VLOOKUP(X64,MeasureCost!$B$6:$W$97,22,FALSE)</f>
        <v>1656.8748000000003</v>
      </c>
      <c r="BD64" s="97">
        <f>VLOOKUP(X64,MeasureCost!$B$6:$W$97,20,FALSE)</f>
        <v>331.21440000000001</v>
      </c>
      <c r="BE64" s="97">
        <f>+BC64+BD64*BA64</f>
        <v>2650.518</v>
      </c>
      <c r="BF64" s="97">
        <f>VLOOKUP(Y64,MeasureCost!$B$6:$W$97,22,FALSE)</f>
        <v>551.33880000000011</v>
      </c>
      <c r="BG64" s="97">
        <f>VLOOKUP(Y64,MeasureCost!$B$6:$W$97,20,FALSE)</f>
        <v>331.21440000000001</v>
      </c>
      <c r="BH64" s="97">
        <f>+BF64+BG64*BA64</f>
        <v>1544.982</v>
      </c>
      <c r="BI64" s="82">
        <f>+(BE64-BH64)/BA64</f>
        <v>368.512</v>
      </c>
      <c r="BJ64" s="110"/>
      <c r="BK64" s="110" t="str">
        <f>+B64</f>
        <v>RE-HV-ResAC-45to65kBtuh-18S</v>
      </c>
    </row>
    <row r="65" spans="1:63">
      <c r="A65" s="112">
        <v>859</v>
      </c>
      <c r="B65" s="112" t="s">
        <v>725</v>
      </c>
      <c r="C65" s="112" t="s">
        <v>714</v>
      </c>
      <c r="D65" s="112" t="s">
        <v>156</v>
      </c>
      <c r="E65" s="112" t="s">
        <v>617</v>
      </c>
      <c r="F65" s="114">
        <v>41920</v>
      </c>
      <c r="G65" s="112" t="s">
        <v>725</v>
      </c>
      <c r="H65" s="112" t="s">
        <v>545</v>
      </c>
      <c r="I65" s="112" t="s">
        <v>404</v>
      </c>
      <c r="J65" s="112" t="s">
        <v>618</v>
      </c>
      <c r="K65" s="110"/>
      <c r="L65" s="110"/>
      <c r="M65" s="112" t="s">
        <v>618</v>
      </c>
      <c r="N65" s="110"/>
      <c r="O65" s="112" t="b">
        <v>0</v>
      </c>
      <c r="P65" s="110"/>
      <c r="Q65" s="112" t="b">
        <v>0</v>
      </c>
      <c r="R65" s="112" t="s">
        <v>302</v>
      </c>
      <c r="S65" s="112" t="s">
        <v>531</v>
      </c>
      <c r="T65" s="112" t="s">
        <v>537</v>
      </c>
      <c r="U65" s="112" t="s">
        <v>538</v>
      </c>
      <c r="V65" s="112" t="s">
        <v>539</v>
      </c>
      <c r="W65" s="112" t="s">
        <v>547</v>
      </c>
      <c r="X65" s="110" t="str">
        <f>IFERROR(VLOOKUP(AF65,MeasureCost!$B$6:$B$80,1,FALSE),"")</f>
        <v/>
      </c>
      <c r="Y65" s="110" t="str">
        <f>IFERROR(VLOOKUP(AE65,MeasureCost!$B$6:$B$80,1,FALSE),"")</f>
        <v>dxAC-Res-Split-45to65kBTUh-SEER-14.0</v>
      </c>
      <c r="Z65" s="112" t="s">
        <v>704</v>
      </c>
      <c r="AA65" s="112" t="s">
        <v>720</v>
      </c>
      <c r="AB65" s="112" t="s">
        <v>721</v>
      </c>
      <c r="AC65" s="112" t="s">
        <v>714</v>
      </c>
      <c r="AD65" s="110"/>
      <c r="AE65" s="112" t="s">
        <v>305</v>
      </c>
      <c r="AF65" s="112" t="s">
        <v>321</v>
      </c>
      <c r="AG65" s="112" t="s">
        <v>621</v>
      </c>
      <c r="AH65" s="110"/>
      <c r="AI65" s="112" t="b">
        <v>0</v>
      </c>
      <c r="AJ65" s="112" t="b">
        <v>0</v>
      </c>
      <c r="AK65" s="110"/>
      <c r="AL65" s="112" t="s">
        <v>622</v>
      </c>
      <c r="AM65" s="112" t="s">
        <v>704</v>
      </c>
      <c r="AN65" s="110"/>
      <c r="AO65" s="112" t="s">
        <v>618</v>
      </c>
      <c r="AP65" s="114">
        <v>42005</v>
      </c>
      <c r="AQ65" s="110"/>
      <c r="AR65" s="112" t="s">
        <v>545</v>
      </c>
      <c r="AS65" s="110"/>
      <c r="AT65" s="110"/>
      <c r="AU65" s="110"/>
      <c r="AV65" s="110"/>
      <c r="AW65" s="112" t="s">
        <v>404</v>
      </c>
      <c r="AX65" s="110"/>
      <c r="AY65" s="138"/>
      <c r="AZ65" s="138"/>
      <c r="BA65" s="138"/>
      <c r="BC65" s="110"/>
      <c r="BF65" s="110"/>
      <c r="BG65" s="110"/>
      <c r="BI65" s="110"/>
      <c r="BJ65" s="110"/>
      <c r="BK65" s="110"/>
    </row>
    <row r="66" spans="1:63">
      <c r="A66" s="112">
        <v>860</v>
      </c>
      <c r="B66" s="112" t="s">
        <v>726</v>
      </c>
      <c r="C66" s="112" t="s">
        <v>716</v>
      </c>
      <c r="D66" s="112" t="s">
        <v>156</v>
      </c>
      <c r="E66" s="112" t="s">
        <v>617</v>
      </c>
      <c r="F66" s="114">
        <v>41920</v>
      </c>
      <c r="G66" s="112" t="s">
        <v>726</v>
      </c>
      <c r="H66" s="112" t="s">
        <v>545</v>
      </c>
      <c r="I66" s="112" t="s">
        <v>404</v>
      </c>
      <c r="J66" s="112" t="s">
        <v>618</v>
      </c>
      <c r="K66" s="110"/>
      <c r="L66" s="110"/>
      <c r="M66" s="112" t="s">
        <v>618</v>
      </c>
      <c r="N66" s="110"/>
      <c r="O66" s="112" t="b">
        <v>0</v>
      </c>
      <c r="P66" s="110"/>
      <c r="Q66" s="112" t="b">
        <v>0</v>
      </c>
      <c r="R66" s="112" t="s">
        <v>302</v>
      </c>
      <c r="S66" s="112" t="s">
        <v>531</v>
      </c>
      <c r="T66" s="112" t="s">
        <v>537</v>
      </c>
      <c r="U66" s="112" t="s">
        <v>538</v>
      </c>
      <c r="V66" s="112" t="s">
        <v>539</v>
      </c>
      <c r="W66" s="112" t="s">
        <v>547</v>
      </c>
      <c r="X66" s="110" t="str">
        <f>IFERROR(VLOOKUP(AF66,MeasureCost!$B$6:$B$80,1,FALSE),"")</f>
        <v/>
      </c>
      <c r="Y66" s="110" t="str">
        <f>IFERROR(VLOOKUP(AE66,MeasureCost!$B$6:$B$80,1,FALSE),"")</f>
        <v>dxAC-Res-Split-45to65kBTUh-SEER-14.0</v>
      </c>
      <c r="Z66" s="112" t="s">
        <v>704</v>
      </c>
      <c r="AA66" s="112" t="s">
        <v>720</v>
      </c>
      <c r="AB66" s="112" t="s">
        <v>721</v>
      </c>
      <c r="AC66" s="112" t="s">
        <v>716</v>
      </c>
      <c r="AD66" s="110"/>
      <c r="AE66" s="112" t="s">
        <v>305</v>
      </c>
      <c r="AF66" s="112" t="s">
        <v>323</v>
      </c>
      <c r="AG66" s="112" t="s">
        <v>621</v>
      </c>
      <c r="AH66" s="110"/>
      <c r="AI66" s="112" t="b">
        <v>0</v>
      </c>
      <c r="AJ66" s="112" t="b">
        <v>0</v>
      </c>
      <c r="AK66" s="110"/>
      <c r="AL66" s="112" t="s">
        <v>622</v>
      </c>
      <c r="AM66" s="112" t="s">
        <v>704</v>
      </c>
      <c r="AN66" s="110"/>
      <c r="AO66" s="112" t="s">
        <v>618</v>
      </c>
      <c r="AP66" s="114">
        <v>42005</v>
      </c>
      <c r="AQ66" s="110"/>
      <c r="AR66" s="112" t="s">
        <v>545</v>
      </c>
      <c r="AS66" s="110"/>
      <c r="AT66" s="110"/>
      <c r="AU66" s="110"/>
      <c r="AV66" s="110"/>
      <c r="AW66" s="112" t="s">
        <v>404</v>
      </c>
      <c r="AX66" s="110"/>
      <c r="AY66" s="138"/>
      <c r="AZ66" s="138"/>
      <c r="BA66" s="138"/>
      <c r="BC66" s="110"/>
      <c r="BF66" s="110"/>
      <c r="BG66" s="110"/>
      <c r="BI66" s="110"/>
      <c r="BJ66" s="110"/>
      <c r="BK66" s="110"/>
    </row>
    <row r="67" spans="1:63">
      <c r="A67" s="112">
        <v>861</v>
      </c>
      <c r="B67" s="112" t="s">
        <v>727</v>
      </c>
      <c r="C67" s="112" t="s">
        <v>718</v>
      </c>
      <c r="D67" s="112" t="s">
        <v>156</v>
      </c>
      <c r="E67" s="112" t="s">
        <v>617</v>
      </c>
      <c r="F67" s="114">
        <v>41920</v>
      </c>
      <c r="G67" s="112" t="s">
        <v>727</v>
      </c>
      <c r="H67" s="112" t="s">
        <v>545</v>
      </c>
      <c r="I67" s="112" t="s">
        <v>404</v>
      </c>
      <c r="J67" s="112" t="s">
        <v>618</v>
      </c>
      <c r="K67" s="110"/>
      <c r="L67" s="110"/>
      <c r="M67" s="112" t="s">
        <v>618</v>
      </c>
      <c r="N67" s="110"/>
      <c r="O67" s="112" t="b">
        <v>0</v>
      </c>
      <c r="P67" s="110"/>
      <c r="Q67" s="112" t="b">
        <v>0</v>
      </c>
      <c r="R67" s="112" t="s">
        <v>302</v>
      </c>
      <c r="S67" s="112" t="s">
        <v>531</v>
      </c>
      <c r="T67" s="112" t="s">
        <v>537</v>
      </c>
      <c r="U67" s="112" t="s">
        <v>538</v>
      </c>
      <c r="V67" s="112" t="s">
        <v>539</v>
      </c>
      <c r="W67" s="112" t="s">
        <v>547</v>
      </c>
      <c r="X67" s="110" t="str">
        <f>IFERROR(VLOOKUP(AF67,MeasureCost!$B$6:$B$80,1,FALSE),"")</f>
        <v/>
      </c>
      <c r="Y67" s="110" t="str">
        <f>IFERROR(VLOOKUP(AE67,MeasureCost!$B$6:$B$80,1,FALSE),"")</f>
        <v>dxAC-Res-Split-45to65kBTUh-SEER-14.0</v>
      </c>
      <c r="Z67" s="112" t="s">
        <v>704</v>
      </c>
      <c r="AA67" s="112" t="s">
        <v>720</v>
      </c>
      <c r="AB67" s="112" t="s">
        <v>721</v>
      </c>
      <c r="AC67" s="112" t="s">
        <v>718</v>
      </c>
      <c r="AD67" s="110"/>
      <c r="AE67" s="112" t="s">
        <v>305</v>
      </c>
      <c r="AF67" s="112" t="s">
        <v>325</v>
      </c>
      <c r="AG67" s="112" t="s">
        <v>621</v>
      </c>
      <c r="AH67" s="110"/>
      <c r="AI67" s="112" t="b">
        <v>0</v>
      </c>
      <c r="AJ67" s="112" t="b">
        <v>0</v>
      </c>
      <c r="AK67" s="110"/>
      <c r="AL67" s="112" t="s">
        <v>622</v>
      </c>
      <c r="AM67" s="112" t="s">
        <v>704</v>
      </c>
      <c r="AN67" s="110"/>
      <c r="AO67" s="112" t="s">
        <v>618</v>
      </c>
      <c r="AP67" s="114">
        <v>42005</v>
      </c>
      <c r="AQ67" s="110"/>
      <c r="AR67" s="112" t="s">
        <v>545</v>
      </c>
      <c r="AS67" s="110"/>
      <c r="AT67" s="110"/>
      <c r="AU67" s="110"/>
      <c r="AV67" s="110"/>
      <c r="AW67" s="112" t="s">
        <v>404</v>
      </c>
      <c r="AX67" s="110"/>
      <c r="AY67" s="138"/>
      <c r="AZ67" s="138"/>
      <c r="BA67" s="138"/>
      <c r="BC67" s="110"/>
      <c r="BF67" s="110"/>
      <c r="BG67" s="110"/>
      <c r="BI67" s="110"/>
      <c r="BJ67" s="110"/>
      <c r="BK67" s="110"/>
    </row>
    <row r="68" spans="1:63">
      <c r="A68" s="112">
        <v>863</v>
      </c>
      <c r="B68" s="112" t="s">
        <v>728</v>
      </c>
      <c r="C68" s="112" t="s">
        <v>380</v>
      </c>
      <c r="D68" s="112" t="s">
        <v>156</v>
      </c>
      <c r="E68" s="112" t="s">
        <v>617</v>
      </c>
      <c r="F68" s="114">
        <v>41920</v>
      </c>
      <c r="G68" s="112" t="s">
        <v>728</v>
      </c>
      <c r="H68" s="112" t="s">
        <v>545</v>
      </c>
      <c r="I68" s="112" t="s">
        <v>404</v>
      </c>
      <c r="J68" s="112" t="s">
        <v>618</v>
      </c>
      <c r="K68" s="110"/>
      <c r="L68" s="110"/>
      <c r="M68" s="112" t="s">
        <v>618</v>
      </c>
      <c r="N68" s="110"/>
      <c r="O68" s="112" t="b">
        <v>0</v>
      </c>
      <c r="P68" s="110"/>
      <c r="Q68" s="112" t="b">
        <v>0</v>
      </c>
      <c r="R68" s="112" t="s">
        <v>302</v>
      </c>
      <c r="S68" s="112" t="s">
        <v>531</v>
      </c>
      <c r="T68" s="112" t="s">
        <v>537</v>
      </c>
      <c r="U68" s="112" t="s">
        <v>729</v>
      </c>
      <c r="V68" s="112" t="s">
        <v>730</v>
      </c>
      <c r="W68" s="112" t="s">
        <v>547</v>
      </c>
      <c r="X68" s="110" t="str">
        <f>IFERROR(VLOOKUP(AF68,MeasureCost!$B$6:$B$80,1,FALSE),"")</f>
        <v>dxHP-Res-Split-SEER-15.0</v>
      </c>
      <c r="Y68" s="110" t="str">
        <f>IFERROR(VLOOKUP(AE68,MeasureCost!$B$6:$B$80,1,FALSE),"")</f>
        <v>dxHP-Res-Split-SEER-14.0</v>
      </c>
      <c r="Z68" s="112" t="s">
        <v>731</v>
      </c>
      <c r="AA68" s="112" t="s">
        <v>732</v>
      </c>
      <c r="AB68" s="112" t="s">
        <v>378</v>
      </c>
      <c r="AC68" s="112" t="s">
        <v>380</v>
      </c>
      <c r="AD68" s="110"/>
      <c r="AE68" s="112" t="s">
        <v>377</v>
      </c>
      <c r="AF68" s="112" t="s">
        <v>379</v>
      </c>
      <c r="AG68" s="112" t="s">
        <v>621</v>
      </c>
      <c r="AH68" s="110"/>
      <c r="AI68" s="112" t="b">
        <v>0</v>
      </c>
      <c r="AJ68" s="112" t="b">
        <v>0</v>
      </c>
      <c r="AK68" s="110"/>
      <c r="AL68" s="112" t="s">
        <v>622</v>
      </c>
      <c r="AM68" s="112" t="s">
        <v>731</v>
      </c>
      <c r="AN68" s="110"/>
      <c r="AO68" s="112" t="s">
        <v>618</v>
      </c>
      <c r="AP68" s="114">
        <v>42005</v>
      </c>
      <c r="AQ68" s="110"/>
      <c r="AR68" s="112" t="s">
        <v>545</v>
      </c>
      <c r="AS68" s="110"/>
      <c r="AT68" s="110"/>
      <c r="AU68" s="110"/>
      <c r="AV68" s="110"/>
      <c r="AW68" s="112" t="s">
        <v>404</v>
      </c>
      <c r="AX68" s="110"/>
      <c r="AY68" s="138">
        <f>VLOOKUP(X68,MeasureCost!$B$6:$Z$97,24,FALSE)</f>
        <v>1.5</v>
      </c>
      <c r="AZ68" s="138">
        <f>VLOOKUP(X68,MeasureCost!$B$6:$Z$97,25,FALSE)</f>
        <v>5</v>
      </c>
      <c r="BA68" s="138">
        <v>3</v>
      </c>
      <c r="BC68" s="97">
        <f>VLOOKUP(X68,MeasureCost!$B$6:$W$97,22,FALSE)</f>
        <v>1097.5404000000001</v>
      </c>
      <c r="BD68" s="97">
        <f>VLOOKUP(X68,MeasureCost!$B$6:$W$97,20,FALSE)</f>
        <v>594.5616</v>
      </c>
      <c r="BE68" s="97">
        <f t="shared" ref="BE68:BE92" si="4">+BC68+BD68*BA68</f>
        <v>2881.2251999999999</v>
      </c>
      <c r="BF68" s="97">
        <f>VLOOKUP(Y68,MeasureCost!$B$6:$W$97,22,FALSE)</f>
        <v>549.2484000000004</v>
      </c>
      <c r="BG68" s="97">
        <f>VLOOKUP(Y68,MeasureCost!$B$6:$W$97,20,FALSE)</f>
        <v>594.5616</v>
      </c>
      <c r="BH68" s="97">
        <f t="shared" ref="BH68:BH92" si="5">+BF68+BG68*BA68</f>
        <v>2332.9332000000004</v>
      </c>
      <c r="BI68" s="82">
        <f t="shared" ref="BI68:BI92" si="6">+(BE68-BH68)/BA68</f>
        <v>182.76399999999981</v>
      </c>
      <c r="BJ68" s="110"/>
      <c r="BK68" s="110" t="str">
        <f t="shared" ref="BK68:BK92" si="7">+B68</f>
        <v>RE-HV-ResHP-15p0S-8p7H</v>
      </c>
    </row>
    <row r="69" spans="1:63">
      <c r="A69" s="112">
        <v>864</v>
      </c>
      <c r="B69" s="112" t="s">
        <v>733</v>
      </c>
      <c r="C69" s="112" t="s">
        <v>382</v>
      </c>
      <c r="D69" s="112" t="s">
        <v>156</v>
      </c>
      <c r="E69" s="112" t="s">
        <v>617</v>
      </c>
      <c r="F69" s="114">
        <v>41920</v>
      </c>
      <c r="G69" s="112" t="s">
        <v>733</v>
      </c>
      <c r="H69" s="112" t="s">
        <v>545</v>
      </c>
      <c r="I69" s="112" t="s">
        <v>404</v>
      </c>
      <c r="J69" s="112" t="s">
        <v>618</v>
      </c>
      <c r="K69" s="110"/>
      <c r="L69" s="110"/>
      <c r="M69" s="112" t="s">
        <v>618</v>
      </c>
      <c r="N69" s="110"/>
      <c r="O69" s="112" t="b">
        <v>0</v>
      </c>
      <c r="P69" s="110"/>
      <c r="Q69" s="112" t="b">
        <v>0</v>
      </c>
      <c r="R69" s="112" t="s">
        <v>302</v>
      </c>
      <c r="S69" s="112" t="s">
        <v>531</v>
      </c>
      <c r="T69" s="112" t="s">
        <v>537</v>
      </c>
      <c r="U69" s="112" t="s">
        <v>729</v>
      </c>
      <c r="V69" s="112" t="s">
        <v>730</v>
      </c>
      <c r="W69" s="112" t="s">
        <v>547</v>
      </c>
      <c r="X69" s="110" t="str">
        <f>IFERROR(VLOOKUP(AF69,MeasureCost!$B$6:$B$80,1,FALSE),"")</f>
        <v>dxHP-Res-Split-SEER-16.0</v>
      </c>
      <c r="Y69" s="110" t="str">
        <f>IFERROR(VLOOKUP(AE69,MeasureCost!$B$6:$B$80,1,FALSE),"")</f>
        <v>dxHP-Res-Split-SEER-14.0</v>
      </c>
      <c r="Z69" s="112" t="s">
        <v>731</v>
      </c>
      <c r="AA69" s="112" t="s">
        <v>732</v>
      </c>
      <c r="AB69" s="112" t="s">
        <v>378</v>
      </c>
      <c r="AC69" s="112" t="s">
        <v>382</v>
      </c>
      <c r="AD69" s="110"/>
      <c r="AE69" s="112" t="s">
        <v>377</v>
      </c>
      <c r="AF69" s="112" t="s">
        <v>381</v>
      </c>
      <c r="AG69" s="112" t="s">
        <v>621</v>
      </c>
      <c r="AH69" s="110"/>
      <c r="AI69" s="112" t="b">
        <v>0</v>
      </c>
      <c r="AJ69" s="112" t="b">
        <v>0</v>
      </c>
      <c r="AK69" s="110"/>
      <c r="AL69" s="112" t="s">
        <v>622</v>
      </c>
      <c r="AM69" s="112" t="s">
        <v>731</v>
      </c>
      <c r="AN69" s="110"/>
      <c r="AO69" s="112" t="s">
        <v>618</v>
      </c>
      <c r="AP69" s="114">
        <v>42005</v>
      </c>
      <c r="AQ69" s="110"/>
      <c r="AR69" s="112" t="s">
        <v>545</v>
      </c>
      <c r="AS69" s="110"/>
      <c r="AT69" s="110"/>
      <c r="AU69" s="110"/>
      <c r="AV69" s="110"/>
      <c r="AW69" s="112" t="s">
        <v>404</v>
      </c>
      <c r="AX69" s="110"/>
      <c r="AY69" s="138">
        <f>VLOOKUP(X69,MeasureCost!$B$6:$Z$97,24,FALSE)</f>
        <v>1.5</v>
      </c>
      <c r="AZ69" s="138">
        <f>VLOOKUP(X69,MeasureCost!$B$6:$Z$97,25,FALSE)</f>
        <v>5</v>
      </c>
      <c r="BA69" s="138">
        <v>3</v>
      </c>
      <c r="BC69" s="97">
        <f>VLOOKUP(X69,MeasureCost!$B$6:$W$97,22,FALSE)</f>
        <v>1645.8324</v>
      </c>
      <c r="BD69" s="97">
        <f>VLOOKUP(X69,MeasureCost!$B$6:$W$97,20,FALSE)</f>
        <v>594.5616</v>
      </c>
      <c r="BE69" s="97">
        <f t="shared" si="4"/>
        <v>3429.5172000000002</v>
      </c>
      <c r="BF69" s="97">
        <f>VLOOKUP(Y69,MeasureCost!$B$6:$W$97,22,FALSE)</f>
        <v>549.2484000000004</v>
      </c>
      <c r="BG69" s="97">
        <f>VLOOKUP(Y69,MeasureCost!$B$6:$W$97,20,FALSE)</f>
        <v>594.5616</v>
      </c>
      <c r="BH69" s="97">
        <f t="shared" si="5"/>
        <v>2332.9332000000004</v>
      </c>
      <c r="BI69" s="82">
        <f t="shared" si="6"/>
        <v>365.52799999999996</v>
      </c>
      <c r="BJ69" s="110"/>
      <c r="BK69" s="110" t="str">
        <f t="shared" si="7"/>
        <v>RE-HV-ResHP-16p0S-9p0H</v>
      </c>
    </row>
    <row r="70" spans="1:63">
      <c r="A70" s="112">
        <v>865</v>
      </c>
      <c r="B70" s="112" t="s">
        <v>734</v>
      </c>
      <c r="C70" s="112" t="s">
        <v>384</v>
      </c>
      <c r="D70" s="112" t="s">
        <v>156</v>
      </c>
      <c r="E70" s="112" t="s">
        <v>617</v>
      </c>
      <c r="F70" s="114">
        <v>41920</v>
      </c>
      <c r="G70" s="112" t="s">
        <v>734</v>
      </c>
      <c r="H70" s="112" t="s">
        <v>545</v>
      </c>
      <c r="I70" s="112" t="s">
        <v>404</v>
      </c>
      <c r="J70" s="112" t="s">
        <v>618</v>
      </c>
      <c r="K70" s="110"/>
      <c r="L70" s="110"/>
      <c r="M70" s="112" t="s">
        <v>618</v>
      </c>
      <c r="N70" s="110"/>
      <c r="O70" s="112" t="b">
        <v>0</v>
      </c>
      <c r="P70" s="110"/>
      <c r="Q70" s="112" t="b">
        <v>0</v>
      </c>
      <c r="R70" s="112" t="s">
        <v>302</v>
      </c>
      <c r="S70" s="112" t="s">
        <v>531</v>
      </c>
      <c r="T70" s="112" t="s">
        <v>537</v>
      </c>
      <c r="U70" s="112" t="s">
        <v>729</v>
      </c>
      <c r="V70" s="112" t="s">
        <v>730</v>
      </c>
      <c r="W70" s="112" t="s">
        <v>547</v>
      </c>
      <c r="X70" s="110" t="str">
        <f>IFERROR(VLOOKUP(AF70,MeasureCost!$B$6:$B$80,1,FALSE),"")</f>
        <v>dxHP-Res-Split-SEER-17.0</v>
      </c>
      <c r="Y70" s="110" t="str">
        <f>IFERROR(VLOOKUP(AE70,MeasureCost!$B$6:$B$80,1,FALSE),"")</f>
        <v>dxHP-Res-Split-SEER-14.0</v>
      </c>
      <c r="Z70" s="112" t="s">
        <v>731</v>
      </c>
      <c r="AA70" s="112" t="s">
        <v>732</v>
      </c>
      <c r="AB70" s="112" t="s">
        <v>378</v>
      </c>
      <c r="AC70" s="112" t="s">
        <v>384</v>
      </c>
      <c r="AD70" s="110"/>
      <c r="AE70" s="112" t="s">
        <v>377</v>
      </c>
      <c r="AF70" s="112" t="s">
        <v>383</v>
      </c>
      <c r="AG70" s="112" t="s">
        <v>621</v>
      </c>
      <c r="AH70" s="110"/>
      <c r="AI70" s="112" t="b">
        <v>0</v>
      </c>
      <c r="AJ70" s="112" t="b">
        <v>0</v>
      </c>
      <c r="AK70" s="110"/>
      <c r="AL70" s="112" t="s">
        <v>622</v>
      </c>
      <c r="AM70" s="112" t="s">
        <v>731</v>
      </c>
      <c r="AN70" s="110"/>
      <c r="AO70" s="112" t="s">
        <v>618</v>
      </c>
      <c r="AP70" s="114">
        <v>42005</v>
      </c>
      <c r="AQ70" s="110"/>
      <c r="AR70" s="112" t="s">
        <v>545</v>
      </c>
      <c r="AS70" s="110"/>
      <c r="AT70" s="110"/>
      <c r="AU70" s="110"/>
      <c r="AV70" s="110"/>
      <c r="AW70" s="112" t="s">
        <v>404</v>
      </c>
      <c r="AX70" s="110"/>
      <c r="AY70" s="138">
        <f>VLOOKUP(X70,MeasureCost!$B$6:$Z$97,24,FALSE)</f>
        <v>1.5</v>
      </c>
      <c r="AZ70" s="138">
        <f>VLOOKUP(X70,MeasureCost!$B$6:$Z$97,25,FALSE)</f>
        <v>5</v>
      </c>
      <c r="BA70" s="138">
        <v>3</v>
      </c>
      <c r="BC70" s="97">
        <f>VLOOKUP(X70,MeasureCost!$B$6:$W$97,22,FALSE)</f>
        <v>2194.1243999999997</v>
      </c>
      <c r="BD70" s="97">
        <f>VLOOKUP(X70,MeasureCost!$B$6:$W$97,20,FALSE)</f>
        <v>594.5616</v>
      </c>
      <c r="BE70" s="97">
        <f t="shared" si="4"/>
        <v>3977.8091999999997</v>
      </c>
      <c r="BF70" s="97">
        <f>VLOOKUP(Y70,MeasureCost!$B$6:$W$97,22,FALSE)</f>
        <v>549.2484000000004</v>
      </c>
      <c r="BG70" s="97">
        <f>VLOOKUP(Y70,MeasureCost!$B$6:$W$97,20,FALSE)</f>
        <v>594.5616</v>
      </c>
      <c r="BH70" s="97">
        <f t="shared" si="5"/>
        <v>2332.9332000000004</v>
      </c>
      <c r="BI70" s="82">
        <f t="shared" si="6"/>
        <v>548.2919999999998</v>
      </c>
      <c r="BJ70" s="110"/>
      <c r="BK70" s="110" t="str">
        <f t="shared" si="7"/>
        <v>RE-HV-ResHP-17p0S-9p4H</v>
      </c>
    </row>
    <row r="71" spans="1:63">
      <c r="A71" s="112">
        <v>866</v>
      </c>
      <c r="B71" s="112" t="s">
        <v>735</v>
      </c>
      <c r="C71" s="112" t="s">
        <v>386</v>
      </c>
      <c r="D71" s="112" t="s">
        <v>156</v>
      </c>
      <c r="E71" s="112" t="s">
        <v>617</v>
      </c>
      <c r="F71" s="114">
        <v>41920</v>
      </c>
      <c r="G71" s="112" t="s">
        <v>735</v>
      </c>
      <c r="H71" s="112" t="s">
        <v>545</v>
      </c>
      <c r="I71" s="112" t="s">
        <v>404</v>
      </c>
      <c r="J71" s="112" t="s">
        <v>618</v>
      </c>
      <c r="K71" s="110"/>
      <c r="L71" s="110"/>
      <c r="M71" s="112" t="s">
        <v>618</v>
      </c>
      <c r="N71" s="110"/>
      <c r="O71" s="112" t="b">
        <v>0</v>
      </c>
      <c r="P71" s="110"/>
      <c r="Q71" s="112" t="b">
        <v>0</v>
      </c>
      <c r="R71" s="112" t="s">
        <v>302</v>
      </c>
      <c r="S71" s="112" t="s">
        <v>531</v>
      </c>
      <c r="T71" s="112" t="s">
        <v>537</v>
      </c>
      <c r="U71" s="112" t="s">
        <v>729</v>
      </c>
      <c r="V71" s="112" t="s">
        <v>730</v>
      </c>
      <c r="W71" s="112" t="s">
        <v>547</v>
      </c>
      <c r="X71" s="110" t="str">
        <f>IFERROR(VLOOKUP(AF71,MeasureCost!$B$6:$B$80,1,FALSE),"")</f>
        <v>dxHP-Res-Split-SEER-18.0</v>
      </c>
      <c r="Y71" s="110" t="str">
        <f>IFERROR(VLOOKUP(AE71,MeasureCost!$B$6:$B$80,1,FALSE),"")</f>
        <v>dxHP-Res-Split-SEER-14.0</v>
      </c>
      <c r="Z71" s="112" t="s">
        <v>731</v>
      </c>
      <c r="AA71" s="112" t="s">
        <v>732</v>
      </c>
      <c r="AB71" s="112" t="s">
        <v>378</v>
      </c>
      <c r="AC71" s="112" t="s">
        <v>386</v>
      </c>
      <c r="AD71" s="110"/>
      <c r="AE71" s="112" t="s">
        <v>377</v>
      </c>
      <c r="AF71" s="112" t="s">
        <v>385</v>
      </c>
      <c r="AG71" s="112" t="s">
        <v>621</v>
      </c>
      <c r="AH71" s="110"/>
      <c r="AI71" s="112" t="b">
        <v>0</v>
      </c>
      <c r="AJ71" s="112" t="b">
        <v>0</v>
      </c>
      <c r="AK71" s="110"/>
      <c r="AL71" s="112" t="s">
        <v>622</v>
      </c>
      <c r="AM71" s="112" t="s">
        <v>731</v>
      </c>
      <c r="AN71" s="110"/>
      <c r="AO71" s="112" t="s">
        <v>618</v>
      </c>
      <c r="AP71" s="114">
        <v>42005</v>
      </c>
      <c r="AQ71" s="110"/>
      <c r="AR71" s="112" t="s">
        <v>545</v>
      </c>
      <c r="AS71" s="110"/>
      <c r="AT71" s="110"/>
      <c r="AU71" s="110"/>
      <c r="AV71" s="110"/>
      <c r="AW71" s="112" t="s">
        <v>404</v>
      </c>
      <c r="AX71" s="110"/>
      <c r="AY71" s="138">
        <f>VLOOKUP(X71,MeasureCost!$B$6:$Z$97,24,FALSE)</f>
        <v>1.5</v>
      </c>
      <c r="AZ71" s="138">
        <f>VLOOKUP(X71,MeasureCost!$B$6:$Z$97,25,FALSE)</f>
        <v>5</v>
      </c>
      <c r="BA71" s="138">
        <v>3</v>
      </c>
      <c r="BC71" s="97">
        <f>VLOOKUP(X71,MeasureCost!$B$6:$W$97,22,FALSE)</f>
        <v>2742.4164000000005</v>
      </c>
      <c r="BD71" s="97">
        <f>VLOOKUP(X71,MeasureCost!$B$6:$W$97,20,FALSE)</f>
        <v>594.5616</v>
      </c>
      <c r="BE71" s="97">
        <f t="shared" si="4"/>
        <v>4526.101200000001</v>
      </c>
      <c r="BF71" s="97">
        <f>VLOOKUP(Y71,MeasureCost!$B$6:$W$97,22,FALSE)</f>
        <v>549.2484000000004</v>
      </c>
      <c r="BG71" s="97">
        <f>VLOOKUP(Y71,MeasureCost!$B$6:$W$97,20,FALSE)</f>
        <v>594.5616</v>
      </c>
      <c r="BH71" s="97">
        <f t="shared" si="5"/>
        <v>2332.9332000000004</v>
      </c>
      <c r="BI71" s="82">
        <f t="shared" si="6"/>
        <v>731.05600000000015</v>
      </c>
      <c r="BJ71" s="110"/>
      <c r="BK71" s="110" t="str">
        <f t="shared" si="7"/>
        <v>RE-HV-ResHP-18p0S-9p7H</v>
      </c>
    </row>
    <row r="72" spans="1:63">
      <c r="A72" s="112">
        <v>867</v>
      </c>
      <c r="B72" s="112" t="s">
        <v>736</v>
      </c>
      <c r="C72" s="112" t="s">
        <v>340</v>
      </c>
      <c r="D72" s="112" t="s">
        <v>156</v>
      </c>
      <c r="E72" s="112" t="s">
        <v>617</v>
      </c>
      <c r="F72" s="114">
        <v>41940</v>
      </c>
      <c r="G72" s="112" t="s">
        <v>736</v>
      </c>
      <c r="H72" s="112" t="s">
        <v>545</v>
      </c>
      <c r="I72" s="112" t="s">
        <v>404</v>
      </c>
      <c r="J72" s="112" t="s">
        <v>618</v>
      </c>
      <c r="K72" s="110"/>
      <c r="L72" s="110"/>
      <c r="M72" s="112" t="s">
        <v>618</v>
      </c>
      <c r="N72" s="110"/>
      <c r="O72" s="112" t="b">
        <v>0</v>
      </c>
      <c r="P72" s="110"/>
      <c r="Q72" s="112" t="b">
        <v>0</v>
      </c>
      <c r="R72" s="112" t="s">
        <v>116</v>
      </c>
      <c r="S72" s="112" t="s">
        <v>531</v>
      </c>
      <c r="T72" s="112" t="s">
        <v>537</v>
      </c>
      <c r="U72" s="112" t="s">
        <v>729</v>
      </c>
      <c r="V72" s="112" t="s">
        <v>730</v>
      </c>
      <c r="W72" s="112" t="s">
        <v>546</v>
      </c>
      <c r="X72" s="110" t="str">
        <f>IFERROR(VLOOKUP(AF72,MeasureCost!$B$6:$B$80,1,FALSE),"")</f>
        <v>dxHP-Com-Pkg-lt55kBTUh-SEER-15.0</v>
      </c>
      <c r="Y72" s="110" t="str">
        <f>IFERROR(VLOOKUP(AE72,MeasureCost!$B$6:$B$80,1,FALSE),"")</f>
        <v>dxHP-Com-Pkg-lt55kBTUh-SEER-14.0</v>
      </c>
      <c r="Z72" s="112" t="s">
        <v>731</v>
      </c>
      <c r="AA72" s="112" t="s">
        <v>737</v>
      </c>
      <c r="AB72" s="112" t="s">
        <v>338</v>
      </c>
      <c r="AC72" s="112" t="s">
        <v>340</v>
      </c>
      <c r="AD72" s="110"/>
      <c r="AE72" s="112" t="s">
        <v>337</v>
      </c>
      <c r="AF72" s="112" t="s">
        <v>339</v>
      </c>
      <c r="AG72" s="112" t="s">
        <v>621</v>
      </c>
      <c r="AH72" s="110"/>
      <c r="AI72" s="112" t="b">
        <v>0</v>
      </c>
      <c r="AJ72" s="112" t="b">
        <v>0</v>
      </c>
      <c r="AK72" s="110"/>
      <c r="AL72" s="112" t="s">
        <v>622</v>
      </c>
      <c r="AM72" s="112" t="s">
        <v>731</v>
      </c>
      <c r="AN72" s="110"/>
      <c r="AO72" s="112" t="s">
        <v>618</v>
      </c>
      <c r="AP72" s="114">
        <v>42005</v>
      </c>
      <c r="AQ72" s="110"/>
      <c r="AR72" s="112" t="s">
        <v>545</v>
      </c>
      <c r="AS72" s="110"/>
      <c r="AT72" s="110"/>
      <c r="AU72" s="110"/>
      <c r="AV72" s="110"/>
      <c r="AW72" s="112" t="s">
        <v>404</v>
      </c>
      <c r="AX72" s="110"/>
      <c r="AY72" s="138">
        <f>VLOOKUP(X72,MeasureCost!$B$6:$Z$97,24,FALSE)</f>
        <v>2</v>
      </c>
      <c r="AZ72" s="138">
        <f>VLOOKUP(X72,MeasureCost!$B$6:$Z$97,25,FALSE)</f>
        <v>5</v>
      </c>
      <c r="BA72" s="138">
        <v>3</v>
      </c>
      <c r="BC72" s="97">
        <f>VLOOKUP(X72,MeasureCost!$B$6:$W$97,22,FALSE)</f>
        <v>3103.5228000000002</v>
      </c>
      <c r="BD72" s="97">
        <f>VLOOKUP(X72,MeasureCost!$B$6:$W$97,20,FALSE)</f>
        <v>358.45920000000001</v>
      </c>
      <c r="BE72" s="97">
        <f t="shared" si="4"/>
        <v>4178.9004000000004</v>
      </c>
      <c r="BF72" s="97">
        <f>VLOOKUP(Y72,MeasureCost!$B$6:$W$97,22,FALSE)</f>
        <v>2677.6308000000004</v>
      </c>
      <c r="BG72" s="97">
        <f>VLOOKUP(Y72,MeasureCost!$B$6:$W$97,20,FALSE)</f>
        <v>358.45920000000001</v>
      </c>
      <c r="BH72" s="97">
        <f t="shared" si="5"/>
        <v>3753.0084000000006</v>
      </c>
      <c r="BI72" s="82">
        <f t="shared" si="6"/>
        <v>141.96399999999994</v>
      </c>
      <c r="BJ72" s="110"/>
      <c r="BK72" s="110" t="str">
        <f t="shared" si="7"/>
        <v>NE-HVAC-airHP-Pkg-lt55kBtuh-15p0seer-8p2hspf</v>
      </c>
    </row>
    <row r="73" spans="1:63">
      <c r="A73" s="112">
        <v>868</v>
      </c>
      <c r="B73" s="112" t="s">
        <v>738</v>
      </c>
      <c r="C73" s="112" t="s">
        <v>342</v>
      </c>
      <c r="D73" s="112" t="s">
        <v>156</v>
      </c>
      <c r="E73" s="112" t="s">
        <v>617</v>
      </c>
      <c r="F73" s="114">
        <v>41940</v>
      </c>
      <c r="G73" s="112" t="s">
        <v>738</v>
      </c>
      <c r="H73" s="112" t="s">
        <v>545</v>
      </c>
      <c r="I73" s="112" t="s">
        <v>404</v>
      </c>
      <c r="J73" s="112" t="s">
        <v>618</v>
      </c>
      <c r="K73" s="110"/>
      <c r="L73" s="110"/>
      <c r="M73" s="112" t="s">
        <v>618</v>
      </c>
      <c r="N73" s="110"/>
      <c r="O73" s="112" t="b">
        <v>0</v>
      </c>
      <c r="P73" s="110"/>
      <c r="Q73" s="112" t="b">
        <v>0</v>
      </c>
      <c r="R73" s="112" t="s">
        <v>116</v>
      </c>
      <c r="S73" s="112" t="s">
        <v>531</v>
      </c>
      <c r="T73" s="112" t="s">
        <v>537</v>
      </c>
      <c r="U73" s="112" t="s">
        <v>729</v>
      </c>
      <c r="V73" s="112" t="s">
        <v>730</v>
      </c>
      <c r="W73" s="112" t="s">
        <v>546</v>
      </c>
      <c r="X73" s="110" t="str">
        <f>IFERROR(VLOOKUP(AF73,MeasureCost!$B$6:$B$80,1,FALSE),"")</f>
        <v>dxHP-Com-Pkg-lt55kBTUh-SEER-16.0</v>
      </c>
      <c r="Y73" s="110" t="str">
        <f>IFERROR(VLOOKUP(AE73,MeasureCost!$B$6:$B$80,1,FALSE),"")</f>
        <v>dxHP-Com-Pkg-lt55kBTUh-SEER-14.0</v>
      </c>
      <c r="Z73" s="112" t="s">
        <v>731</v>
      </c>
      <c r="AA73" s="112" t="s">
        <v>737</v>
      </c>
      <c r="AB73" s="112" t="s">
        <v>338</v>
      </c>
      <c r="AC73" s="112" t="s">
        <v>342</v>
      </c>
      <c r="AD73" s="110"/>
      <c r="AE73" s="112" t="s">
        <v>337</v>
      </c>
      <c r="AF73" s="112" t="s">
        <v>341</v>
      </c>
      <c r="AG73" s="112" t="s">
        <v>621</v>
      </c>
      <c r="AH73" s="110"/>
      <c r="AI73" s="112" t="b">
        <v>0</v>
      </c>
      <c r="AJ73" s="112" t="b">
        <v>0</v>
      </c>
      <c r="AK73" s="110"/>
      <c r="AL73" s="112" t="s">
        <v>622</v>
      </c>
      <c r="AM73" s="112" t="s">
        <v>731</v>
      </c>
      <c r="AN73" s="110"/>
      <c r="AO73" s="112" t="s">
        <v>618</v>
      </c>
      <c r="AP73" s="114">
        <v>42005</v>
      </c>
      <c r="AQ73" s="110"/>
      <c r="AR73" s="112" t="s">
        <v>545</v>
      </c>
      <c r="AS73" s="110"/>
      <c r="AT73" s="110"/>
      <c r="AU73" s="110"/>
      <c r="AV73" s="110"/>
      <c r="AW73" s="112" t="s">
        <v>404</v>
      </c>
      <c r="AX73" s="110"/>
      <c r="AY73" s="138">
        <f>VLOOKUP(X73,MeasureCost!$B$6:$Z$97,24,FALSE)</f>
        <v>2</v>
      </c>
      <c r="AZ73" s="138">
        <f>VLOOKUP(X73,MeasureCost!$B$6:$Z$97,25,FALSE)</f>
        <v>5</v>
      </c>
      <c r="BA73" s="138">
        <v>3</v>
      </c>
      <c r="BC73" s="97">
        <f>VLOOKUP(X73,MeasureCost!$B$6:$W$97,22,FALSE)</f>
        <v>3529.4148</v>
      </c>
      <c r="BD73" s="97">
        <f>VLOOKUP(X73,MeasureCost!$B$6:$W$97,20,FALSE)</f>
        <v>358.45920000000001</v>
      </c>
      <c r="BE73" s="97">
        <f t="shared" si="4"/>
        <v>4604.7924000000003</v>
      </c>
      <c r="BF73" s="97">
        <f>VLOOKUP(Y73,MeasureCost!$B$6:$W$97,22,FALSE)</f>
        <v>2677.6308000000004</v>
      </c>
      <c r="BG73" s="97">
        <f>VLOOKUP(Y73,MeasureCost!$B$6:$W$97,20,FALSE)</f>
        <v>358.45920000000001</v>
      </c>
      <c r="BH73" s="97">
        <f t="shared" si="5"/>
        <v>3753.0084000000006</v>
      </c>
      <c r="BI73" s="82">
        <f t="shared" si="6"/>
        <v>283.92799999999988</v>
      </c>
      <c r="BJ73" s="110"/>
      <c r="BK73" s="110" t="str">
        <f t="shared" si="7"/>
        <v>NE-HVAC-airHP-Pkg-lt55kBtuh-16p0seer-8p5hspf</v>
      </c>
    </row>
    <row r="74" spans="1:63">
      <c r="A74" s="112">
        <v>869</v>
      </c>
      <c r="B74" s="112" t="s">
        <v>739</v>
      </c>
      <c r="C74" s="112" t="s">
        <v>344</v>
      </c>
      <c r="D74" s="112" t="s">
        <v>156</v>
      </c>
      <c r="E74" s="112" t="s">
        <v>617</v>
      </c>
      <c r="F74" s="114">
        <v>41940</v>
      </c>
      <c r="G74" s="112" t="s">
        <v>739</v>
      </c>
      <c r="H74" s="112" t="s">
        <v>545</v>
      </c>
      <c r="I74" s="112" t="s">
        <v>404</v>
      </c>
      <c r="J74" s="112" t="s">
        <v>618</v>
      </c>
      <c r="K74" s="110"/>
      <c r="L74" s="110"/>
      <c r="M74" s="112" t="s">
        <v>618</v>
      </c>
      <c r="N74" s="110"/>
      <c r="O74" s="112" t="b">
        <v>0</v>
      </c>
      <c r="P74" s="110"/>
      <c r="Q74" s="112" t="b">
        <v>0</v>
      </c>
      <c r="R74" s="112" t="s">
        <v>116</v>
      </c>
      <c r="S74" s="112" t="s">
        <v>531</v>
      </c>
      <c r="T74" s="112" t="s">
        <v>537</v>
      </c>
      <c r="U74" s="112" t="s">
        <v>729</v>
      </c>
      <c r="V74" s="112" t="s">
        <v>730</v>
      </c>
      <c r="W74" s="112" t="s">
        <v>546</v>
      </c>
      <c r="X74" s="110" t="str">
        <f>IFERROR(VLOOKUP(AF74,MeasureCost!$B$6:$B$80,1,FALSE),"")</f>
        <v>dxHP-Com-Pkg-lt55kBTUh-SEER-17.0</v>
      </c>
      <c r="Y74" s="110" t="str">
        <f>IFERROR(VLOOKUP(AE74,MeasureCost!$B$6:$B$80,1,FALSE),"")</f>
        <v>dxHP-Com-Pkg-lt55kBTUh-SEER-14.0</v>
      </c>
      <c r="Z74" s="112" t="s">
        <v>731</v>
      </c>
      <c r="AA74" s="112" t="s">
        <v>737</v>
      </c>
      <c r="AB74" s="112" t="s">
        <v>338</v>
      </c>
      <c r="AC74" s="112" t="s">
        <v>344</v>
      </c>
      <c r="AD74" s="110"/>
      <c r="AE74" s="112" t="s">
        <v>337</v>
      </c>
      <c r="AF74" s="112" t="s">
        <v>343</v>
      </c>
      <c r="AG74" s="112" t="s">
        <v>621</v>
      </c>
      <c r="AH74" s="110"/>
      <c r="AI74" s="112" t="b">
        <v>0</v>
      </c>
      <c r="AJ74" s="112" t="b">
        <v>0</v>
      </c>
      <c r="AK74" s="110"/>
      <c r="AL74" s="112" t="s">
        <v>622</v>
      </c>
      <c r="AM74" s="112" t="s">
        <v>731</v>
      </c>
      <c r="AN74" s="110"/>
      <c r="AO74" s="112" t="s">
        <v>618</v>
      </c>
      <c r="AP74" s="114">
        <v>42005</v>
      </c>
      <c r="AQ74" s="110"/>
      <c r="AR74" s="112" t="s">
        <v>545</v>
      </c>
      <c r="AS74" s="110"/>
      <c r="AT74" s="110"/>
      <c r="AU74" s="110"/>
      <c r="AV74" s="110"/>
      <c r="AW74" s="112" t="s">
        <v>404</v>
      </c>
      <c r="AX74" s="110"/>
      <c r="AY74" s="138">
        <f>VLOOKUP(X74,MeasureCost!$B$6:$Z$97,24,FALSE)</f>
        <v>2</v>
      </c>
      <c r="AZ74" s="138">
        <f>VLOOKUP(X74,MeasureCost!$B$6:$Z$97,25,FALSE)</f>
        <v>5</v>
      </c>
      <c r="BA74" s="138">
        <v>3</v>
      </c>
      <c r="BC74" s="97">
        <f>VLOOKUP(X74,MeasureCost!$B$6:$W$97,22,FALSE)</f>
        <v>3955.3067999999998</v>
      </c>
      <c r="BD74" s="97">
        <f>VLOOKUP(X74,MeasureCost!$B$6:$W$97,20,FALSE)</f>
        <v>358.45920000000001</v>
      </c>
      <c r="BE74" s="97">
        <f t="shared" si="4"/>
        <v>5030.6844000000001</v>
      </c>
      <c r="BF74" s="97">
        <f>VLOOKUP(Y74,MeasureCost!$B$6:$W$97,22,FALSE)</f>
        <v>2677.6308000000004</v>
      </c>
      <c r="BG74" s="97">
        <f>VLOOKUP(Y74,MeasureCost!$B$6:$W$97,20,FALSE)</f>
        <v>358.45920000000001</v>
      </c>
      <c r="BH74" s="97">
        <f t="shared" si="5"/>
        <v>3753.0084000000006</v>
      </c>
      <c r="BI74" s="82">
        <f t="shared" si="6"/>
        <v>425.89199999999983</v>
      </c>
      <c r="BJ74" s="110"/>
      <c r="BK74" s="110" t="str">
        <f t="shared" si="7"/>
        <v>NE-HVAC-airHP-Pkg-lt55kBtuh-17p0seer-9p0hspf</v>
      </c>
    </row>
    <row r="75" spans="1:63">
      <c r="A75" s="112">
        <v>870</v>
      </c>
      <c r="B75" s="112" t="s">
        <v>740</v>
      </c>
      <c r="C75" s="112" t="s">
        <v>332</v>
      </c>
      <c r="D75" s="112" t="s">
        <v>156</v>
      </c>
      <c r="E75" s="112" t="s">
        <v>617</v>
      </c>
      <c r="F75" s="114">
        <v>41940</v>
      </c>
      <c r="G75" s="112" t="s">
        <v>740</v>
      </c>
      <c r="H75" s="112" t="s">
        <v>545</v>
      </c>
      <c r="I75" s="112" t="s">
        <v>404</v>
      </c>
      <c r="J75" s="112" t="s">
        <v>618</v>
      </c>
      <c r="K75" s="110"/>
      <c r="L75" s="110"/>
      <c r="M75" s="112" t="s">
        <v>618</v>
      </c>
      <c r="N75" s="110"/>
      <c r="O75" s="112" t="b">
        <v>0</v>
      </c>
      <c r="P75" s="110"/>
      <c r="Q75" s="112" t="b">
        <v>0</v>
      </c>
      <c r="R75" s="112" t="s">
        <v>116</v>
      </c>
      <c r="S75" s="112" t="s">
        <v>531</v>
      </c>
      <c r="T75" s="112" t="s">
        <v>537</v>
      </c>
      <c r="U75" s="112" t="s">
        <v>729</v>
      </c>
      <c r="V75" s="112" t="s">
        <v>730</v>
      </c>
      <c r="W75" s="112" t="s">
        <v>546</v>
      </c>
      <c r="X75" s="110" t="str">
        <f>IFERROR(VLOOKUP(AF75,MeasureCost!$B$6:$B$80,1,FALSE),"")</f>
        <v>dxHP-Com-Pkg-55to65kBTUh-SEER-15.0</v>
      </c>
      <c r="Y75" s="110" t="str">
        <f>IFERROR(VLOOKUP(AE75,MeasureCost!$B$6:$B$80,1,FALSE),"")</f>
        <v>dxHP-Com-Pkg-55to65kBTUh-SEER-14.0</v>
      </c>
      <c r="Z75" s="112" t="s">
        <v>731</v>
      </c>
      <c r="AA75" s="112" t="s">
        <v>741</v>
      </c>
      <c r="AB75" s="112" t="s">
        <v>330</v>
      </c>
      <c r="AC75" s="112" t="s">
        <v>332</v>
      </c>
      <c r="AD75" s="110"/>
      <c r="AE75" s="112" t="s">
        <v>329</v>
      </c>
      <c r="AF75" s="112" t="s">
        <v>331</v>
      </c>
      <c r="AG75" s="112" t="s">
        <v>621</v>
      </c>
      <c r="AH75" s="110"/>
      <c r="AI75" s="112" t="b">
        <v>0</v>
      </c>
      <c r="AJ75" s="112" t="b">
        <v>0</v>
      </c>
      <c r="AK75" s="110"/>
      <c r="AL75" s="112" t="s">
        <v>622</v>
      </c>
      <c r="AM75" s="112" t="s">
        <v>731</v>
      </c>
      <c r="AN75" s="110"/>
      <c r="AO75" s="112" t="s">
        <v>618</v>
      </c>
      <c r="AP75" s="114">
        <v>42005</v>
      </c>
      <c r="AQ75" s="110"/>
      <c r="AR75" s="112" t="s">
        <v>545</v>
      </c>
      <c r="AS75" s="110"/>
      <c r="AT75" s="110"/>
      <c r="AU75" s="110"/>
      <c r="AV75" s="110"/>
      <c r="AW75" s="112" t="s">
        <v>404</v>
      </c>
      <c r="AX75" s="110"/>
      <c r="AY75" s="138">
        <f>VLOOKUP(X75,MeasureCost!$B$6:$Z$97,24,FALSE)</f>
        <v>2</v>
      </c>
      <c r="AZ75" s="138">
        <f>VLOOKUP(X75,MeasureCost!$B$6:$Z$97,25,FALSE)</f>
        <v>5</v>
      </c>
      <c r="BA75" s="138">
        <v>3</v>
      </c>
      <c r="BC75" s="97">
        <f>VLOOKUP(X75,MeasureCost!$B$6:$W$97,22,FALSE)</f>
        <v>3103.5228000000002</v>
      </c>
      <c r="BD75" s="97">
        <f>VLOOKUP(X75,MeasureCost!$B$6:$W$97,20,FALSE)</f>
        <v>358.45920000000001</v>
      </c>
      <c r="BE75" s="97">
        <f t="shared" si="4"/>
        <v>4178.9004000000004</v>
      </c>
      <c r="BF75" s="97">
        <f>VLOOKUP(Y75,MeasureCost!$B$6:$W$97,22,FALSE)</f>
        <v>2677.6308000000004</v>
      </c>
      <c r="BG75" s="97">
        <f>VLOOKUP(Y75,MeasureCost!$B$6:$W$97,20,FALSE)</f>
        <v>358.45920000000001</v>
      </c>
      <c r="BH75" s="97">
        <f t="shared" si="5"/>
        <v>3753.0084000000006</v>
      </c>
      <c r="BI75" s="82">
        <f t="shared" si="6"/>
        <v>141.96399999999994</v>
      </c>
      <c r="BJ75" s="110"/>
      <c r="BK75" s="110" t="str">
        <f t="shared" si="7"/>
        <v>NE-HVAC-airHP-Pkg-55to65kBtuh-15p0seer-8p2hspf</v>
      </c>
    </row>
    <row r="76" spans="1:63">
      <c r="A76" s="112">
        <v>871</v>
      </c>
      <c r="B76" s="112" t="s">
        <v>742</v>
      </c>
      <c r="C76" s="112" t="s">
        <v>334</v>
      </c>
      <c r="D76" s="112" t="s">
        <v>156</v>
      </c>
      <c r="E76" s="112" t="s">
        <v>617</v>
      </c>
      <c r="F76" s="114">
        <v>41940</v>
      </c>
      <c r="G76" s="112" t="s">
        <v>742</v>
      </c>
      <c r="H76" s="112" t="s">
        <v>545</v>
      </c>
      <c r="I76" s="112" t="s">
        <v>404</v>
      </c>
      <c r="J76" s="112" t="s">
        <v>618</v>
      </c>
      <c r="K76" s="110"/>
      <c r="L76" s="110"/>
      <c r="M76" s="112" t="s">
        <v>618</v>
      </c>
      <c r="N76" s="110"/>
      <c r="O76" s="112" t="b">
        <v>0</v>
      </c>
      <c r="P76" s="110"/>
      <c r="Q76" s="112" t="b">
        <v>0</v>
      </c>
      <c r="R76" s="112" t="s">
        <v>116</v>
      </c>
      <c r="S76" s="112" t="s">
        <v>531</v>
      </c>
      <c r="T76" s="112" t="s">
        <v>537</v>
      </c>
      <c r="U76" s="112" t="s">
        <v>729</v>
      </c>
      <c r="V76" s="112" t="s">
        <v>730</v>
      </c>
      <c r="W76" s="112" t="s">
        <v>546</v>
      </c>
      <c r="X76" s="110" t="str">
        <f>IFERROR(VLOOKUP(AF76,MeasureCost!$B$6:$B$80,1,FALSE),"")</f>
        <v>dxHP-Com-Pkg-55to65kBTUh-SEER-16.0</v>
      </c>
      <c r="Y76" s="110" t="str">
        <f>IFERROR(VLOOKUP(AE76,MeasureCost!$B$6:$B$80,1,FALSE),"")</f>
        <v>dxHP-Com-Pkg-55to65kBTUh-SEER-14.0</v>
      </c>
      <c r="Z76" s="112" t="s">
        <v>731</v>
      </c>
      <c r="AA76" s="112" t="s">
        <v>741</v>
      </c>
      <c r="AB76" s="112" t="s">
        <v>330</v>
      </c>
      <c r="AC76" s="112" t="s">
        <v>334</v>
      </c>
      <c r="AD76" s="110"/>
      <c r="AE76" s="112" t="s">
        <v>329</v>
      </c>
      <c r="AF76" s="112" t="s">
        <v>333</v>
      </c>
      <c r="AG76" s="112" t="s">
        <v>621</v>
      </c>
      <c r="AH76" s="110"/>
      <c r="AI76" s="112" t="b">
        <v>0</v>
      </c>
      <c r="AJ76" s="112" t="b">
        <v>0</v>
      </c>
      <c r="AK76" s="110"/>
      <c r="AL76" s="112" t="s">
        <v>622</v>
      </c>
      <c r="AM76" s="112" t="s">
        <v>731</v>
      </c>
      <c r="AN76" s="110"/>
      <c r="AO76" s="112" t="s">
        <v>618</v>
      </c>
      <c r="AP76" s="114">
        <v>42005</v>
      </c>
      <c r="AQ76" s="110"/>
      <c r="AR76" s="112" t="s">
        <v>545</v>
      </c>
      <c r="AS76" s="110"/>
      <c r="AT76" s="110"/>
      <c r="AU76" s="110"/>
      <c r="AV76" s="110"/>
      <c r="AW76" s="112" t="s">
        <v>404</v>
      </c>
      <c r="AX76" s="110"/>
      <c r="AY76" s="138">
        <f>VLOOKUP(X76,MeasureCost!$B$6:$Z$97,24,FALSE)</f>
        <v>2</v>
      </c>
      <c r="AZ76" s="138">
        <f>VLOOKUP(X76,MeasureCost!$B$6:$Z$97,25,FALSE)</f>
        <v>5</v>
      </c>
      <c r="BA76" s="138">
        <v>3</v>
      </c>
      <c r="BC76" s="97">
        <f>VLOOKUP(X76,MeasureCost!$B$6:$W$97,22,FALSE)</f>
        <v>3529.4148</v>
      </c>
      <c r="BD76" s="97">
        <f>VLOOKUP(X76,MeasureCost!$B$6:$W$97,20,FALSE)</f>
        <v>358.45920000000001</v>
      </c>
      <c r="BE76" s="97">
        <f t="shared" si="4"/>
        <v>4604.7924000000003</v>
      </c>
      <c r="BF76" s="97">
        <f>VLOOKUP(Y76,MeasureCost!$B$6:$W$97,22,FALSE)</f>
        <v>2677.6308000000004</v>
      </c>
      <c r="BG76" s="97">
        <f>VLOOKUP(Y76,MeasureCost!$B$6:$W$97,20,FALSE)</f>
        <v>358.45920000000001</v>
      </c>
      <c r="BH76" s="97">
        <f t="shared" si="5"/>
        <v>3753.0084000000006</v>
      </c>
      <c r="BI76" s="82">
        <f t="shared" si="6"/>
        <v>283.92799999999988</v>
      </c>
      <c r="BJ76" s="110"/>
      <c r="BK76" s="110" t="str">
        <f t="shared" si="7"/>
        <v>NE-HVAC-airHP-Pkg-55to65kBtuh-16p0seer-8p5hspf</v>
      </c>
    </row>
    <row r="77" spans="1:63">
      <c r="A77" s="112">
        <v>872</v>
      </c>
      <c r="B77" s="112" t="s">
        <v>743</v>
      </c>
      <c r="C77" s="112" t="s">
        <v>336</v>
      </c>
      <c r="D77" s="112" t="s">
        <v>156</v>
      </c>
      <c r="E77" s="112" t="s">
        <v>617</v>
      </c>
      <c r="F77" s="114">
        <v>41940</v>
      </c>
      <c r="G77" s="112" t="s">
        <v>743</v>
      </c>
      <c r="H77" s="112" t="s">
        <v>545</v>
      </c>
      <c r="I77" s="112" t="s">
        <v>404</v>
      </c>
      <c r="J77" s="112" t="s">
        <v>618</v>
      </c>
      <c r="K77" s="110"/>
      <c r="L77" s="110"/>
      <c r="M77" s="112" t="s">
        <v>618</v>
      </c>
      <c r="N77" s="110"/>
      <c r="O77" s="112" t="b">
        <v>0</v>
      </c>
      <c r="P77" s="110"/>
      <c r="Q77" s="112" t="b">
        <v>0</v>
      </c>
      <c r="R77" s="112" t="s">
        <v>116</v>
      </c>
      <c r="S77" s="112" t="s">
        <v>531</v>
      </c>
      <c r="T77" s="112" t="s">
        <v>537</v>
      </c>
      <c r="U77" s="112" t="s">
        <v>729</v>
      </c>
      <c r="V77" s="112" t="s">
        <v>730</v>
      </c>
      <c r="W77" s="112" t="s">
        <v>546</v>
      </c>
      <c r="X77" s="110" t="str">
        <f>IFERROR(VLOOKUP(AF77,MeasureCost!$B$6:$B$80,1,FALSE),"")</f>
        <v>dxHP-Com-Pkg-55to65kBTUh-SEER-17.0</v>
      </c>
      <c r="Y77" s="110" t="str">
        <f>IFERROR(VLOOKUP(AE77,MeasureCost!$B$6:$B$80,1,FALSE),"")</f>
        <v>dxHP-Com-Pkg-55to65kBTUh-SEER-14.0</v>
      </c>
      <c r="Z77" s="112" t="s">
        <v>731</v>
      </c>
      <c r="AA77" s="112" t="s">
        <v>741</v>
      </c>
      <c r="AB77" s="112" t="s">
        <v>330</v>
      </c>
      <c r="AC77" s="112" t="s">
        <v>336</v>
      </c>
      <c r="AD77" s="110"/>
      <c r="AE77" s="112" t="s">
        <v>329</v>
      </c>
      <c r="AF77" s="112" t="s">
        <v>335</v>
      </c>
      <c r="AG77" s="112" t="s">
        <v>621</v>
      </c>
      <c r="AH77" s="110"/>
      <c r="AI77" s="112" t="b">
        <v>0</v>
      </c>
      <c r="AJ77" s="112" t="b">
        <v>0</v>
      </c>
      <c r="AK77" s="110"/>
      <c r="AL77" s="112" t="s">
        <v>622</v>
      </c>
      <c r="AM77" s="112" t="s">
        <v>731</v>
      </c>
      <c r="AN77" s="110"/>
      <c r="AO77" s="112" t="s">
        <v>618</v>
      </c>
      <c r="AP77" s="114">
        <v>42005</v>
      </c>
      <c r="AQ77" s="110"/>
      <c r="AR77" s="112" t="s">
        <v>545</v>
      </c>
      <c r="AS77" s="110"/>
      <c r="AT77" s="110"/>
      <c r="AU77" s="110"/>
      <c r="AV77" s="110"/>
      <c r="AW77" s="112" t="s">
        <v>404</v>
      </c>
      <c r="AX77" s="110"/>
      <c r="AY77" s="138">
        <f>VLOOKUP(X77,MeasureCost!$B$6:$Z$97,24,FALSE)</f>
        <v>2</v>
      </c>
      <c r="AZ77" s="138">
        <f>VLOOKUP(X77,MeasureCost!$B$6:$Z$97,25,FALSE)</f>
        <v>5</v>
      </c>
      <c r="BA77" s="138">
        <v>3</v>
      </c>
      <c r="BC77" s="97">
        <f>VLOOKUP(X77,MeasureCost!$B$6:$W$97,22,FALSE)</f>
        <v>3955.3067999999998</v>
      </c>
      <c r="BD77" s="97">
        <f>VLOOKUP(X77,MeasureCost!$B$6:$W$97,20,FALSE)</f>
        <v>358.45920000000001</v>
      </c>
      <c r="BE77" s="97">
        <f t="shared" si="4"/>
        <v>5030.6844000000001</v>
      </c>
      <c r="BF77" s="97">
        <f>VLOOKUP(Y77,MeasureCost!$B$6:$W$97,22,FALSE)</f>
        <v>2677.6308000000004</v>
      </c>
      <c r="BG77" s="97">
        <f>VLOOKUP(Y77,MeasureCost!$B$6:$W$97,20,FALSE)</f>
        <v>358.45920000000001</v>
      </c>
      <c r="BH77" s="97">
        <f t="shared" si="5"/>
        <v>3753.0084000000006</v>
      </c>
      <c r="BI77" s="82">
        <f t="shared" si="6"/>
        <v>425.89199999999983</v>
      </c>
      <c r="BJ77" s="110"/>
      <c r="BK77" s="110" t="str">
        <f t="shared" si="7"/>
        <v>NE-HVAC-airHP-Pkg-55to65kBtuh-17p0seer-9p0hspf</v>
      </c>
    </row>
    <row r="78" spans="1:63">
      <c r="A78" s="112">
        <v>873</v>
      </c>
      <c r="B78" s="112" t="s">
        <v>744</v>
      </c>
      <c r="C78" s="112" t="s">
        <v>332</v>
      </c>
      <c r="D78" s="112" t="s">
        <v>156</v>
      </c>
      <c r="E78" s="112" t="s">
        <v>617</v>
      </c>
      <c r="F78" s="114">
        <v>41940</v>
      </c>
      <c r="G78" s="112" t="s">
        <v>744</v>
      </c>
      <c r="H78" s="112" t="s">
        <v>545</v>
      </c>
      <c r="I78" s="112" t="s">
        <v>404</v>
      </c>
      <c r="J78" s="112" t="s">
        <v>618</v>
      </c>
      <c r="K78" s="110"/>
      <c r="L78" s="110"/>
      <c r="M78" s="112" t="s">
        <v>618</v>
      </c>
      <c r="N78" s="110"/>
      <c r="O78" s="112" t="b">
        <v>0</v>
      </c>
      <c r="P78" s="110"/>
      <c r="Q78" s="112" t="b">
        <v>0</v>
      </c>
      <c r="R78" s="112" t="s">
        <v>116</v>
      </c>
      <c r="S78" s="112" t="s">
        <v>531</v>
      </c>
      <c r="T78" s="112" t="s">
        <v>537</v>
      </c>
      <c r="U78" s="112" t="s">
        <v>729</v>
      </c>
      <c r="V78" s="112" t="s">
        <v>730</v>
      </c>
      <c r="W78" s="112" t="s">
        <v>546</v>
      </c>
      <c r="X78" s="110" t="str">
        <f>IFERROR(VLOOKUP(AF78,MeasureCost!$B$6:$B$80,1,FALSE),"")</f>
        <v>dxHP-Com-Pkg-55to65kBTUh-SEER-15.0</v>
      </c>
      <c r="Y78" s="110" t="str">
        <f>IFERROR(VLOOKUP(AE78,MeasureCost!$B$6:$B$80,1,FALSE),"")</f>
        <v>dxHP-Com-Pkg-55to65kBTUh-SEER-14.0</v>
      </c>
      <c r="Z78" s="112" t="s">
        <v>731</v>
      </c>
      <c r="AA78" s="112" t="s">
        <v>745</v>
      </c>
      <c r="AB78" s="112" t="s">
        <v>330</v>
      </c>
      <c r="AC78" s="112" t="s">
        <v>332</v>
      </c>
      <c r="AD78" s="110"/>
      <c r="AE78" s="112" t="s">
        <v>329</v>
      </c>
      <c r="AF78" s="112" t="s">
        <v>331</v>
      </c>
      <c r="AG78" s="112" t="s">
        <v>621</v>
      </c>
      <c r="AH78" s="110"/>
      <c r="AI78" s="112" t="b">
        <v>0</v>
      </c>
      <c r="AJ78" s="112" t="b">
        <v>0</v>
      </c>
      <c r="AK78" s="110"/>
      <c r="AL78" s="112" t="s">
        <v>622</v>
      </c>
      <c r="AM78" s="112" t="s">
        <v>731</v>
      </c>
      <c r="AN78" s="110"/>
      <c r="AO78" s="112" t="s">
        <v>618</v>
      </c>
      <c r="AP78" s="114">
        <v>42005</v>
      </c>
      <c r="AQ78" s="110"/>
      <c r="AR78" s="112" t="s">
        <v>545</v>
      </c>
      <c r="AS78" s="110"/>
      <c r="AT78" s="110"/>
      <c r="AU78" s="110"/>
      <c r="AV78" s="110"/>
      <c r="AW78" s="112" t="s">
        <v>404</v>
      </c>
      <c r="AX78" s="110"/>
      <c r="AY78" s="138">
        <f>VLOOKUP(X78,MeasureCost!$B$6:$Z$97,24,FALSE)</f>
        <v>2</v>
      </c>
      <c r="AZ78" s="138">
        <f>VLOOKUP(X78,MeasureCost!$B$6:$Z$97,25,FALSE)</f>
        <v>5</v>
      </c>
      <c r="BA78" s="138">
        <v>3</v>
      </c>
      <c r="BC78" s="97">
        <f>VLOOKUP(X78,MeasureCost!$B$6:$W$97,22,FALSE)</f>
        <v>3103.5228000000002</v>
      </c>
      <c r="BD78" s="97">
        <f>VLOOKUP(X78,MeasureCost!$B$6:$W$97,20,FALSE)</f>
        <v>358.45920000000001</v>
      </c>
      <c r="BE78" s="97">
        <f t="shared" si="4"/>
        <v>4178.9004000000004</v>
      </c>
      <c r="BF78" s="97">
        <f>VLOOKUP(Y78,MeasureCost!$B$6:$W$97,22,FALSE)</f>
        <v>2677.6308000000004</v>
      </c>
      <c r="BG78" s="97">
        <f>VLOOKUP(Y78,MeasureCost!$B$6:$W$97,20,FALSE)</f>
        <v>358.45920000000001</v>
      </c>
      <c r="BH78" s="97">
        <f t="shared" si="5"/>
        <v>3753.0084000000006</v>
      </c>
      <c r="BI78" s="82">
        <f t="shared" si="6"/>
        <v>141.96399999999994</v>
      </c>
      <c r="BJ78" s="110"/>
      <c r="BK78" s="110" t="str">
        <f t="shared" si="7"/>
        <v>NE-HVAC-airHP-Pkg-55to65kBtuh-15p0seer-8p2hspf-wPreEcono</v>
      </c>
    </row>
    <row r="79" spans="1:63">
      <c r="A79" s="112">
        <v>874</v>
      </c>
      <c r="B79" s="112" t="s">
        <v>746</v>
      </c>
      <c r="C79" s="112" t="s">
        <v>334</v>
      </c>
      <c r="D79" s="112" t="s">
        <v>156</v>
      </c>
      <c r="E79" s="112" t="s">
        <v>617</v>
      </c>
      <c r="F79" s="114">
        <v>41940</v>
      </c>
      <c r="G79" s="112" t="s">
        <v>746</v>
      </c>
      <c r="H79" s="112" t="s">
        <v>545</v>
      </c>
      <c r="I79" s="112" t="s">
        <v>404</v>
      </c>
      <c r="J79" s="112" t="s">
        <v>618</v>
      </c>
      <c r="K79" s="110"/>
      <c r="L79" s="110"/>
      <c r="M79" s="112" t="s">
        <v>618</v>
      </c>
      <c r="N79" s="110"/>
      <c r="O79" s="112" t="b">
        <v>0</v>
      </c>
      <c r="P79" s="110"/>
      <c r="Q79" s="112" t="b">
        <v>0</v>
      </c>
      <c r="R79" s="112" t="s">
        <v>116</v>
      </c>
      <c r="S79" s="112" t="s">
        <v>531</v>
      </c>
      <c r="T79" s="112" t="s">
        <v>537</v>
      </c>
      <c r="U79" s="112" t="s">
        <v>729</v>
      </c>
      <c r="V79" s="112" t="s">
        <v>730</v>
      </c>
      <c r="W79" s="112" t="s">
        <v>546</v>
      </c>
      <c r="X79" s="110" t="str">
        <f>IFERROR(VLOOKUP(AF79,MeasureCost!$B$6:$B$80,1,FALSE),"")</f>
        <v>dxHP-Com-Pkg-55to65kBTUh-SEER-16.0</v>
      </c>
      <c r="Y79" s="110" t="str">
        <f>IFERROR(VLOOKUP(AE79,MeasureCost!$B$6:$B$80,1,FALSE),"")</f>
        <v>dxHP-Com-Pkg-55to65kBTUh-SEER-14.0</v>
      </c>
      <c r="Z79" s="112" t="s">
        <v>731</v>
      </c>
      <c r="AA79" s="112" t="s">
        <v>745</v>
      </c>
      <c r="AB79" s="112" t="s">
        <v>330</v>
      </c>
      <c r="AC79" s="112" t="s">
        <v>334</v>
      </c>
      <c r="AD79" s="110"/>
      <c r="AE79" s="112" t="s">
        <v>329</v>
      </c>
      <c r="AF79" s="112" t="s">
        <v>333</v>
      </c>
      <c r="AG79" s="112" t="s">
        <v>621</v>
      </c>
      <c r="AH79" s="110"/>
      <c r="AI79" s="112" t="b">
        <v>0</v>
      </c>
      <c r="AJ79" s="112" t="b">
        <v>0</v>
      </c>
      <c r="AK79" s="110"/>
      <c r="AL79" s="112" t="s">
        <v>622</v>
      </c>
      <c r="AM79" s="112" t="s">
        <v>731</v>
      </c>
      <c r="AN79" s="110"/>
      <c r="AO79" s="112" t="s">
        <v>618</v>
      </c>
      <c r="AP79" s="114">
        <v>42005</v>
      </c>
      <c r="AQ79" s="110"/>
      <c r="AR79" s="112" t="s">
        <v>545</v>
      </c>
      <c r="AS79" s="110"/>
      <c r="AT79" s="110"/>
      <c r="AU79" s="110"/>
      <c r="AV79" s="110"/>
      <c r="AW79" s="112" t="s">
        <v>404</v>
      </c>
      <c r="AX79" s="110"/>
      <c r="AY79" s="138">
        <f>VLOOKUP(X79,MeasureCost!$B$6:$Z$97,24,FALSE)</f>
        <v>2</v>
      </c>
      <c r="AZ79" s="138">
        <f>VLOOKUP(X79,MeasureCost!$B$6:$Z$97,25,FALSE)</f>
        <v>5</v>
      </c>
      <c r="BA79" s="138">
        <v>3</v>
      </c>
      <c r="BC79" s="97">
        <f>VLOOKUP(X79,MeasureCost!$B$6:$W$97,22,FALSE)</f>
        <v>3529.4148</v>
      </c>
      <c r="BD79" s="97">
        <f>VLOOKUP(X79,MeasureCost!$B$6:$W$97,20,FALSE)</f>
        <v>358.45920000000001</v>
      </c>
      <c r="BE79" s="97">
        <f t="shared" si="4"/>
        <v>4604.7924000000003</v>
      </c>
      <c r="BF79" s="97">
        <f>VLOOKUP(Y79,MeasureCost!$B$6:$W$97,22,FALSE)</f>
        <v>2677.6308000000004</v>
      </c>
      <c r="BG79" s="97">
        <f>VLOOKUP(Y79,MeasureCost!$B$6:$W$97,20,FALSE)</f>
        <v>358.45920000000001</v>
      </c>
      <c r="BH79" s="97">
        <f t="shared" si="5"/>
        <v>3753.0084000000006</v>
      </c>
      <c r="BI79" s="82">
        <f t="shared" si="6"/>
        <v>283.92799999999988</v>
      </c>
      <c r="BJ79" s="110"/>
      <c r="BK79" s="110" t="str">
        <f t="shared" si="7"/>
        <v>NE-HVAC-airHP-Pkg-55to65kBtuh-16p0seer-8p5hspf-wPreEcono</v>
      </c>
    </row>
    <row r="80" spans="1:63">
      <c r="A80" s="112">
        <v>875</v>
      </c>
      <c r="B80" s="112" t="s">
        <v>747</v>
      </c>
      <c r="C80" s="112" t="s">
        <v>336</v>
      </c>
      <c r="D80" s="112" t="s">
        <v>156</v>
      </c>
      <c r="E80" s="112" t="s">
        <v>617</v>
      </c>
      <c r="F80" s="114">
        <v>41940</v>
      </c>
      <c r="G80" s="112" t="s">
        <v>747</v>
      </c>
      <c r="H80" s="112" t="s">
        <v>545</v>
      </c>
      <c r="I80" s="112" t="s">
        <v>404</v>
      </c>
      <c r="J80" s="112" t="s">
        <v>618</v>
      </c>
      <c r="K80" s="110"/>
      <c r="L80" s="110"/>
      <c r="M80" s="112" t="s">
        <v>618</v>
      </c>
      <c r="N80" s="110"/>
      <c r="O80" s="112" t="b">
        <v>0</v>
      </c>
      <c r="P80" s="110"/>
      <c r="Q80" s="112" t="b">
        <v>0</v>
      </c>
      <c r="R80" s="112" t="s">
        <v>116</v>
      </c>
      <c r="S80" s="112" t="s">
        <v>531</v>
      </c>
      <c r="T80" s="112" t="s">
        <v>537</v>
      </c>
      <c r="U80" s="112" t="s">
        <v>729</v>
      </c>
      <c r="V80" s="112" t="s">
        <v>730</v>
      </c>
      <c r="W80" s="112" t="s">
        <v>546</v>
      </c>
      <c r="X80" s="110" t="str">
        <f>IFERROR(VLOOKUP(AF80,MeasureCost!$B$6:$B$80,1,FALSE),"")</f>
        <v>dxHP-Com-Pkg-55to65kBTUh-SEER-17.0</v>
      </c>
      <c r="Y80" s="110" t="str">
        <f>IFERROR(VLOOKUP(AE80,MeasureCost!$B$6:$B$80,1,FALSE),"")</f>
        <v>dxHP-Com-Pkg-55to65kBTUh-SEER-14.0</v>
      </c>
      <c r="Z80" s="112" t="s">
        <v>731</v>
      </c>
      <c r="AA80" s="112" t="s">
        <v>745</v>
      </c>
      <c r="AB80" s="112" t="s">
        <v>330</v>
      </c>
      <c r="AC80" s="112" t="s">
        <v>336</v>
      </c>
      <c r="AD80" s="110"/>
      <c r="AE80" s="112" t="s">
        <v>329</v>
      </c>
      <c r="AF80" s="112" t="s">
        <v>335</v>
      </c>
      <c r="AG80" s="112" t="s">
        <v>621</v>
      </c>
      <c r="AH80" s="110"/>
      <c r="AI80" s="112" t="b">
        <v>0</v>
      </c>
      <c r="AJ80" s="112" t="b">
        <v>0</v>
      </c>
      <c r="AK80" s="110"/>
      <c r="AL80" s="112" t="s">
        <v>622</v>
      </c>
      <c r="AM80" s="112" t="s">
        <v>731</v>
      </c>
      <c r="AN80" s="110"/>
      <c r="AO80" s="112" t="s">
        <v>618</v>
      </c>
      <c r="AP80" s="114">
        <v>42005</v>
      </c>
      <c r="AQ80" s="110"/>
      <c r="AR80" s="112" t="s">
        <v>545</v>
      </c>
      <c r="AS80" s="110"/>
      <c r="AT80" s="110"/>
      <c r="AU80" s="110"/>
      <c r="AV80" s="110"/>
      <c r="AW80" s="112" t="s">
        <v>404</v>
      </c>
      <c r="AX80" s="110"/>
      <c r="AY80" s="138">
        <f>VLOOKUP(X80,MeasureCost!$B$6:$Z$97,24,FALSE)</f>
        <v>2</v>
      </c>
      <c r="AZ80" s="138">
        <f>VLOOKUP(X80,MeasureCost!$B$6:$Z$97,25,FALSE)</f>
        <v>5</v>
      </c>
      <c r="BA80" s="138">
        <v>3</v>
      </c>
      <c r="BC80" s="97">
        <f>VLOOKUP(X80,MeasureCost!$B$6:$W$97,22,FALSE)</f>
        <v>3955.3067999999998</v>
      </c>
      <c r="BD80" s="97">
        <f>VLOOKUP(X80,MeasureCost!$B$6:$W$97,20,FALSE)</f>
        <v>358.45920000000001</v>
      </c>
      <c r="BE80" s="97">
        <f t="shared" si="4"/>
        <v>5030.6844000000001</v>
      </c>
      <c r="BF80" s="97">
        <f>VLOOKUP(Y80,MeasureCost!$B$6:$W$97,22,FALSE)</f>
        <v>2677.6308000000004</v>
      </c>
      <c r="BG80" s="97">
        <f>VLOOKUP(Y80,MeasureCost!$B$6:$W$97,20,FALSE)</f>
        <v>358.45920000000001</v>
      </c>
      <c r="BH80" s="97">
        <f t="shared" si="5"/>
        <v>3753.0084000000006</v>
      </c>
      <c r="BI80" s="82">
        <f t="shared" si="6"/>
        <v>425.89199999999983</v>
      </c>
      <c r="BJ80" s="110"/>
      <c r="BK80" s="110" t="str">
        <f t="shared" si="7"/>
        <v>NE-HVAC-airHP-Pkg-55to65kBtuh-17p0seer-9p0hspf-wPreEcono</v>
      </c>
    </row>
    <row r="81" spans="1:75">
      <c r="A81" s="112">
        <v>876</v>
      </c>
      <c r="B81" s="112" t="s">
        <v>748</v>
      </c>
      <c r="C81" s="112" t="s">
        <v>362</v>
      </c>
      <c r="D81" s="112" t="s">
        <v>156</v>
      </c>
      <c r="E81" s="112" t="s">
        <v>617</v>
      </c>
      <c r="F81" s="114">
        <v>41940</v>
      </c>
      <c r="G81" s="112" t="s">
        <v>748</v>
      </c>
      <c r="H81" s="112" t="s">
        <v>545</v>
      </c>
      <c r="I81" s="112" t="s">
        <v>404</v>
      </c>
      <c r="J81" s="112" t="s">
        <v>618</v>
      </c>
      <c r="K81" s="110"/>
      <c r="L81" s="110"/>
      <c r="M81" s="112" t="s">
        <v>618</v>
      </c>
      <c r="N81" s="110"/>
      <c r="O81" s="112" t="b">
        <v>0</v>
      </c>
      <c r="P81" s="110"/>
      <c r="Q81" s="112" t="b">
        <v>0</v>
      </c>
      <c r="R81" s="112" t="s">
        <v>116</v>
      </c>
      <c r="S81" s="112" t="s">
        <v>531</v>
      </c>
      <c r="T81" s="112" t="s">
        <v>537</v>
      </c>
      <c r="U81" s="112" t="s">
        <v>729</v>
      </c>
      <c r="V81" s="112" t="s">
        <v>730</v>
      </c>
      <c r="W81" s="112" t="s">
        <v>547</v>
      </c>
      <c r="X81" s="110" t="str">
        <f>IFERROR(VLOOKUP(AF81,MeasureCost!$B$6:$B$80,1,FALSE),"")</f>
        <v>dxHP-Com-Split-lt55kBTUh-SEER-15.0</v>
      </c>
      <c r="Y81" s="110" t="str">
        <f>IFERROR(VLOOKUP(AE81,MeasureCost!$B$6:$B$80,1,FALSE),"")</f>
        <v>dxHP-Com-Split-lt55kBTUh-SEER-14.0</v>
      </c>
      <c r="Z81" s="112" t="s">
        <v>731</v>
      </c>
      <c r="AA81" s="112" t="s">
        <v>749</v>
      </c>
      <c r="AB81" s="112" t="s">
        <v>360</v>
      </c>
      <c r="AC81" s="112" t="s">
        <v>362</v>
      </c>
      <c r="AD81" s="110"/>
      <c r="AE81" s="112" t="s">
        <v>359</v>
      </c>
      <c r="AF81" s="112" t="s">
        <v>361</v>
      </c>
      <c r="AG81" s="112" t="s">
        <v>621</v>
      </c>
      <c r="AH81" s="110"/>
      <c r="AI81" s="112" t="b">
        <v>0</v>
      </c>
      <c r="AJ81" s="112" t="b">
        <v>0</v>
      </c>
      <c r="AK81" s="110"/>
      <c r="AL81" s="112" t="s">
        <v>622</v>
      </c>
      <c r="AM81" s="112" t="s">
        <v>731</v>
      </c>
      <c r="AN81" s="110"/>
      <c r="AO81" s="112" t="s">
        <v>618</v>
      </c>
      <c r="AP81" s="114">
        <v>42005</v>
      </c>
      <c r="AQ81" s="110"/>
      <c r="AR81" s="112" t="s">
        <v>545</v>
      </c>
      <c r="AS81" s="110"/>
      <c r="AT81" s="110"/>
      <c r="AU81" s="110"/>
      <c r="AV81" s="110"/>
      <c r="AW81" s="112" t="s">
        <v>404</v>
      </c>
      <c r="AX81" s="110"/>
      <c r="AY81" s="138">
        <f>VLOOKUP(X81,MeasureCost!$B$6:$Z$97,24,FALSE)</f>
        <v>1.5</v>
      </c>
      <c r="AZ81" s="138">
        <f>VLOOKUP(X81,MeasureCost!$B$6:$Z$97,25,FALSE)</f>
        <v>5</v>
      </c>
      <c r="BA81" s="138">
        <v>3</v>
      </c>
      <c r="BC81" s="97">
        <f>VLOOKUP(X81,MeasureCost!$B$6:$W$97,22,FALSE)</f>
        <v>1097.5404000000001</v>
      </c>
      <c r="BD81" s="97">
        <f>VLOOKUP(X81,MeasureCost!$B$6:$W$97,20,FALSE)</f>
        <v>594.5616</v>
      </c>
      <c r="BE81" s="97">
        <f t="shared" si="4"/>
        <v>2881.2251999999999</v>
      </c>
      <c r="BF81" s="97">
        <f>VLOOKUP(Y81,MeasureCost!$B$6:$W$97,22,FALSE)</f>
        <v>549.2484000000004</v>
      </c>
      <c r="BG81" s="97">
        <f>VLOOKUP(Y81,MeasureCost!$B$6:$W$97,20,FALSE)</f>
        <v>594.5616</v>
      </c>
      <c r="BH81" s="97">
        <f t="shared" si="5"/>
        <v>2332.9332000000004</v>
      </c>
      <c r="BI81" s="82">
        <f t="shared" si="6"/>
        <v>182.76399999999981</v>
      </c>
      <c r="BJ81" s="110"/>
      <c r="BK81" s="110" t="str">
        <f t="shared" si="7"/>
        <v>NE-HVAC-airHP-Split-lt55kBtuh-15p0seer-8p7hspf</v>
      </c>
      <c r="BL81" s="110"/>
      <c r="BM81" s="110"/>
      <c r="BN81" s="110"/>
      <c r="BO81" s="110"/>
      <c r="BP81" s="110"/>
      <c r="BQ81" s="110"/>
      <c r="BR81" s="110"/>
      <c r="BS81" s="110"/>
      <c r="BT81" s="110"/>
      <c r="BU81" s="110"/>
      <c r="BV81" s="110"/>
      <c r="BW81" s="110"/>
    </row>
    <row r="82" spans="1:75">
      <c r="A82" s="112">
        <v>877</v>
      </c>
      <c r="B82" s="112" t="s">
        <v>750</v>
      </c>
      <c r="C82" s="112" t="s">
        <v>364</v>
      </c>
      <c r="D82" s="112" t="s">
        <v>156</v>
      </c>
      <c r="E82" s="112" t="s">
        <v>617</v>
      </c>
      <c r="F82" s="114">
        <v>41940</v>
      </c>
      <c r="G82" s="112" t="s">
        <v>750</v>
      </c>
      <c r="H82" s="112" t="s">
        <v>545</v>
      </c>
      <c r="I82" s="112" t="s">
        <v>404</v>
      </c>
      <c r="J82" s="112" t="s">
        <v>618</v>
      </c>
      <c r="K82" s="110"/>
      <c r="L82" s="110"/>
      <c r="M82" s="112" t="s">
        <v>618</v>
      </c>
      <c r="N82" s="110"/>
      <c r="O82" s="112" t="b">
        <v>0</v>
      </c>
      <c r="P82" s="110"/>
      <c r="Q82" s="112" t="b">
        <v>0</v>
      </c>
      <c r="R82" s="112" t="s">
        <v>116</v>
      </c>
      <c r="S82" s="112" t="s">
        <v>531</v>
      </c>
      <c r="T82" s="112" t="s">
        <v>537</v>
      </c>
      <c r="U82" s="112" t="s">
        <v>729</v>
      </c>
      <c r="V82" s="112" t="s">
        <v>730</v>
      </c>
      <c r="W82" s="112" t="s">
        <v>547</v>
      </c>
      <c r="X82" s="110" t="str">
        <f>IFERROR(VLOOKUP(AF82,MeasureCost!$B$6:$B$80,1,FALSE),"")</f>
        <v>dxHP-Com-Split-lt55kBTUh-SEER-16.0</v>
      </c>
      <c r="Y82" s="110" t="str">
        <f>IFERROR(VLOOKUP(AE82,MeasureCost!$B$6:$B$80,1,FALSE),"")</f>
        <v>dxHP-Com-Split-lt55kBTUh-SEER-14.0</v>
      </c>
      <c r="Z82" s="112" t="s">
        <v>731</v>
      </c>
      <c r="AA82" s="112" t="s">
        <v>749</v>
      </c>
      <c r="AB82" s="112" t="s">
        <v>360</v>
      </c>
      <c r="AC82" s="112" t="s">
        <v>364</v>
      </c>
      <c r="AD82" s="110"/>
      <c r="AE82" s="112" t="s">
        <v>359</v>
      </c>
      <c r="AF82" s="112" t="s">
        <v>363</v>
      </c>
      <c r="AG82" s="112" t="s">
        <v>621</v>
      </c>
      <c r="AH82" s="110"/>
      <c r="AI82" s="112" t="b">
        <v>0</v>
      </c>
      <c r="AJ82" s="112" t="b">
        <v>0</v>
      </c>
      <c r="AK82" s="110"/>
      <c r="AL82" s="112" t="s">
        <v>622</v>
      </c>
      <c r="AM82" s="112" t="s">
        <v>731</v>
      </c>
      <c r="AN82" s="110"/>
      <c r="AO82" s="112" t="s">
        <v>618</v>
      </c>
      <c r="AP82" s="114">
        <v>42005</v>
      </c>
      <c r="AQ82" s="110"/>
      <c r="AR82" s="112" t="s">
        <v>545</v>
      </c>
      <c r="AS82" s="110"/>
      <c r="AT82" s="110"/>
      <c r="AU82" s="110"/>
      <c r="AV82" s="110"/>
      <c r="AW82" s="112" t="s">
        <v>404</v>
      </c>
      <c r="AX82" s="110"/>
      <c r="AY82" s="138">
        <f>VLOOKUP(X82,MeasureCost!$B$6:$Z$97,24,FALSE)</f>
        <v>1.5</v>
      </c>
      <c r="AZ82" s="138">
        <f>VLOOKUP(X82,MeasureCost!$B$6:$Z$97,25,FALSE)</f>
        <v>5</v>
      </c>
      <c r="BA82" s="138">
        <v>3</v>
      </c>
      <c r="BC82" s="97">
        <f>VLOOKUP(X82,MeasureCost!$B$6:$W$97,22,FALSE)</f>
        <v>1645.8324</v>
      </c>
      <c r="BD82" s="97">
        <f>VLOOKUP(X82,MeasureCost!$B$6:$W$97,20,FALSE)</f>
        <v>594.5616</v>
      </c>
      <c r="BE82" s="97">
        <f t="shared" si="4"/>
        <v>3429.5172000000002</v>
      </c>
      <c r="BF82" s="97">
        <f>VLOOKUP(Y82,MeasureCost!$B$6:$W$97,22,FALSE)</f>
        <v>549.2484000000004</v>
      </c>
      <c r="BG82" s="97">
        <f>VLOOKUP(Y82,MeasureCost!$B$6:$W$97,20,FALSE)</f>
        <v>594.5616</v>
      </c>
      <c r="BH82" s="97">
        <f t="shared" si="5"/>
        <v>2332.9332000000004</v>
      </c>
      <c r="BI82" s="82">
        <f t="shared" si="6"/>
        <v>365.52799999999996</v>
      </c>
      <c r="BJ82" s="110"/>
      <c r="BK82" s="110" t="str">
        <f t="shared" si="7"/>
        <v>NE-HVAC-airHP-Split-lt55kBtuh-16p0seer-9p0hspf</v>
      </c>
      <c r="BL82" s="110"/>
      <c r="BM82" s="110"/>
      <c r="BN82" s="110"/>
      <c r="BO82" s="110"/>
      <c r="BP82" s="110"/>
      <c r="BQ82" s="110"/>
      <c r="BR82" s="110"/>
      <c r="BS82" s="110"/>
      <c r="BT82" s="110"/>
      <c r="BU82" s="110"/>
      <c r="BV82" s="110"/>
      <c r="BW82" s="110"/>
    </row>
    <row r="83" spans="1:75">
      <c r="A83" s="112">
        <v>878</v>
      </c>
      <c r="B83" s="112" t="s">
        <v>751</v>
      </c>
      <c r="C83" s="112" t="s">
        <v>366</v>
      </c>
      <c r="D83" s="112" t="s">
        <v>156</v>
      </c>
      <c r="E83" s="112" t="s">
        <v>617</v>
      </c>
      <c r="F83" s="114">
        <v>41940</v>
      </c>
      <c r="G83" s="112" t="s">
        <v>751</v>
      </c>
      <c r="H83" s="112" t="s">
        <v>545</v>
      </c>
      <c r="I83" s="112" t="s">
        <v>404</v>
      </c>
      <c r="J83" s="112" t="s">
        <v>618</v>
      </c>
      <c r="K83" s="110"/>
      <c r="L83" s="110"/>
      <c r="M83" s="112" t="s">
        <v>618</v>
      </c>
      <c r="N83" s="110"/>
      <c r="O83" s="112" t="b">
        <v>0</v>
      </c>
      <c r="P83" s="110"/>
      <c r="Q83" s="112" t="b">
        <v>0</v>
      </c>
      <c r="R83" s="112" t="s">
        <v>116</v>
      </c>
      <c r="S83" s="112" t="s">
        <v>531</v>
      </c>
      <c r="T83" s="112" t="s">
        <v>537</v>
      </c>
      <c r="U83" s="112" t="s">
        <v>729</v>
      </c>
      <c r="V83" s="112" t="s">
        <v>730</v>
      </c>
      <c r="W83" s="112" t="s">
        <v>547</v>
      </c>
      <c r="X83" s="110" t="str">
        <f>IFERROR(VLOOKUP(AF83,MeasureCost!$B$6:$B$80,1,FALSE),"")</f>
        <v>dxHP-Com-Split-lt55kBTUh-SEER-17.0</v>
      </c>
      <c r="Y83" s="110" t="str">
        <f>IFERROR(VLOOKUP(AE83,MeasureCost!$B$6:$B$80,1,FALSE),"")</f>
        <v>dxHP-Com-Split-lt55kBTUh-SEER-14.0</v>
      </c>
      <c r="Z83" s="112" t="s">
        <v>731</v>
      </c>
      <c r="AA83" s="112" t="s">
        <v>749</v>
      </c>
      <c r="AB83" s="112" t="s">
        <v>360</v>
      </c>
      <c r="AC83" s="112" t="s">
        <v>366</v>
      </c>
      <c r="AD83" s="110"/>
      <c r="AE83" s="112" t="s">
        <v>359</v>
      </c>
      <c r="AF83" s="112" t="s">
        <v>365</v>
      </c>
      <c r="AG83" s="112" t="s">
        <v>621</v>
      </c>
      <c r="AH83" s="110"/>
      <c r="AI83" s="112" t="b">
        <v>0</v>
      </c>
      <c r="AJ83" s="112" t="b">
        <v>0</v>
      </c>
      <c r="AK83" s="110"/>
      <c r="AL83" s="112" t="s">
        <v>622</v>
      </c>
      <c r="AM83" s="112" t="s">
        <v>731</v>
      </c>
      <c r="AN83" s="110"/>
      <c r="AO83" s="112" t="s">
        <v>618</v>
      </c>
      <c r="AP83" s="114">
        <v>42005</v>
      </c>
      <c r="AQ83" s="110"/>
      <c r="AR83" s="112" t="s">
        <v>545</v>
      </c>
      <c r="AS83" s="110"/>
      <c r="AT83" s="110"/>
      <c r="AU83" s="110"/>
      <c r="AV83" s="110"/>
      <c r="AW83" s="112" t="s">
        <v>404</v>
      </c>
      <c r="AX83" s="110"/>
      <c r="AY83" s="138">
        <f>VLOOKUP(X83,MeasureCost!$B$6:$Z$97,24,FALSE)</f>
        <v>1.5</v>
      </c>
      <c r="AZ83" s="138">
        <f>VLOOKUP(X83,MeasureCost!$B$6:$Z$97,25,FALSE)</f>
        <v>5</v>
      </c>
      <c r="BA83" s="138">
        <v>3</v>
      </c>
      <c r="BC83" s="97">
        <f>VLOOKUP(X83,MeasureCost!$B$6:$W$97,22,FALSE)</f>
        <v>2194.1243999999997</v>
      </c>
      <c r="BD83" s="97">
        <f>VLOOKUP(X83,MeasureCost!$B$6:$W$97,20,FALSE)</f>
        <v>594.5616</v>
      </c>
      <c r="BE83" s="97">
        <f t="shared" si="4"/>
        <v>3977.8091999999997</v>
      </c>
      <c r="BF83" s="97">
        <f>VLOOKUP(Y83,MeasureCost!$B$6:$W$97,22,FALSE)</f>
        <v>549.2484000000004</v>
      </c>
      <c r="BG83" s="97">
        <f>VLOOKUP(Y83,MeasureCost!$B$6:$W$97,20,FALSE)</f>
        <v>594.5616</v>
      </c>
      <c r="BH83" s="97">
        <f t="shared" si="5"/>
        <v>2332.9332000000004</v>
      </c>
      <c r="BI83" s="82">
        <f t="shared" si="6"/>
        <v>548.2919999999998</v>
      </c>
      <c r="BJ83" s="110"/>
      <c r="BK83" s="110" t="str">
        <f t="shared" si="7"/>
        <v>NE-HVAC-airHP-Split-lt55kBtuh-17p0seer-9p4hspf</v>
      </c>
      <c r="BL83" s="110"/>
      <c r="BM83" s="110"/>
      <c r="BN83" s="110"/>
      <c r="BO83" s="110"/>
      <c r="BP83" s="110"/>
      <c r="BQ83" s="110"/>
      <c r="BR83" s="110"/>
      <c r="BS83" s="110"/>
      <c r="BT83" s="110"/>
      <c r="BU83" s="110"/>
      <c r="BV83" s="110"/>
      <c r="BW83" s="110"/>
    </row>
    <row r="84" spans="1:75">
      <c r="A84" s="112">
        <v>879</v>
      </c>
      <c r="B84" s="112" t="s">
        <v>752</v>
      </c>
      <c r="C84" s="112" t="s">
        <v>368</v>
      </c>
      <c r="D84" s="112" t="s">
        <v>156</v>
      </c>
      <c r="E84" s="112" t="s">
        <v>617</v>
      </c>
      <c r="F84" s="114">
        <v>41940</v>
      </c>
      <c r="G84" s="112" t="s">
        <v>752</v>
      </c>
      <c r="H84" s="112" t="s">
        <v>545</v>
      </c>
      <c r="I84" s="112" t="s">
        <v>404</v>
      </c>
      <c r="J84" s="112" t="s">
        <v>618</v>
      </c>
      <c r="K84" s="110"/>
      <c r="L84" s="110"/>
      <c r="M84" s="112" t="s">
        <v>618</v>
      </c>
      <c r="N84" s="110"/>
      <c r="O84" s="112" t="b">
        <v>0</v>
      </c>
      <c r="P84" s="110"/>
      <c r="Q84" s="112" t="b">
        <v>0</v>
      </c>
      <c r="R84" s="112" t="s">
        <v>116</v>
      </c>
      <c r="S84" s="112" t="s">
        <v>531</v>
      </c>
      <c r="T84" s="112" t="s">
        <v>537</v>
      </c>
      <c r="U84" s="112" t="s">
        <v>729</v>
      </c>
      <c r="V84" s="112" t="s">
        <v>730</v>
      </c>
      <c r="W84" s="112" t="s">
        <v>547</v>
      </c>
      <c r="X84" s="110" t="str">
        <f>IFERROR(VLOOKUP(AF84,MeasureCost!$B$6:$B$80,1,FALSE),"")</f>
        <v>dxHP-Com-Split-lt55kBTUh-SEER-18.0</v>
      </c>
      <c r="Y84" s="110" t="str">
        <f>IFERROR(VLOOKUP(AE84,MeasureCost!$B$6:$B$80,1,FALSE),"")</f>
        <v>dxHP-Com-Split-lt55kBTUh-SEER-14.0</v>
      </c>
      <c r="Z84" s="112" t="s">
        <v>731</v>
      </c>
      <c r="AA84" s="112" t="s">
        <v>749</v>
      </c>
      <c r="AB84" s="112" t="s">
        <v>360</v>
      </c>
      <c r="AC84" s="112" t="s">
        <v>368</v>
      </c>
      <c r="AD84" s="110"/>
      <c r="AE84" s="112" t="s">
        <v>359</v>
      </c>
      <c r="AF84" s="112" t="s">
        <v>367</v>
      </c>
      <c r="AG84" s="112" t="s">
        <v>621</v>
      </c>
      <c r="AH84" s="110"/>
      <c r="AI84" s="112" t="b">
        <v>0</v>
      </c>
      <c r="AJ84" s="112" t="b">
        <v>0</v>
      </c>
      <c r="AK84" s="110"/>
      <c r="AL84" s="112" t="s">
        <v>622</v>
      </c>
      <c r="AM84" s="112" t="s">
        <v>731</v>
      </c>
      <c r="AN84" s="110"/>
      <c r="AO84" s="112" t="s">
        <v>618</v>
      </c>
      <c r="AP84" s="114">
        <v>42005</v>
      </c>
      <c r="AQ84" s="110"/>
      <c r="AR84" s="112" t="s">
        <v>545</v>
      </c>
      <c r="AS84" s="110"/>
      <c r="AT84" s="110"/>
      <c r="AU84" s="110"/>
      <c r="AV84" s="110"/>
      <c r="AW84" s="112" t="s">
        <v>404</v>
      </c>
      <c r="AX84" s="110"/>
      <c r="AY84" s="138">
        <f>VLOOKUP(X84,MeasureCost!$B$6:$Z$97,24,FALSE)</f>
        <v>1.5</v>
      </c>
      <c r="AZ84" s="138">
        <f>VLOOKUP(X84,MeasureCost!$B$6:$Z$97,25,FALSE)</f>
        <v>5</v>
      </c>
      <c r="BA84" s="138">
        <v>3</v>
      </c>
      <c r="BC84" s="97">
        <f>VLOOKUP(X84,MeasureCost!$B$6:$W$97,22,FALSE)</f>
        <v>2742.4164000000005</v>
      </c>
      <c r="BD84" s="97">
        <f>VLOOKUP(X84,MeasureCost!$B$6:$W$97,20,FALSE)</f>
        <v>594.5616</v>
      </c>
      <c r="BE84" s="97">
        <f t="shared" si="4"/>
        <v>4526.101200000001</v>
      </c>
      <c r="BF84" s="97">
        <f>VLOOKUP(Y84,MeasureCost!$B$6:$W$97,22,FALSE)</f>
        <v>549.2484000000004</v>
      </c>
      <c r="BG84" s="97">
        <f>VLOOKUP(Y84,MeasureCost!$B$6:$W$97,20,FALSE)</f>
        <v>594.5616</v>
      </c>
      <c r="BH84" s="97">
        <f t="shared" si="5"/>
        <v>2332.9332000000004</v>
      </c>
      <c r="BI84" s="82">
        <f t="shared" si="6"/>
        <v>731.05600000000015</v>
      </c>
      <c r="BJ84" s="110"/>
      <c r="BK84" s="110" t="str">
        <f t="shared" si="7"/>
        <v>NE-HVAC-airHP-Split-lt55kBtuh-18p0seer-9p7hspf</v>
      </c>
      <c r="BL84" s="110"/>
      <c r="BM84" s="110"/>
      <c r="BN84" s="110"/>
      <c r="BO84" s="110"/>
      <c r="BP84" s="110"/>
      <c r="BQ84" s="110"/>
      <c r="BR84" s="110"/>
      <c r="BS84" s="110"/>
      <c r="BT84" s="110"/>
      <c r="BU84" s="110"/>
      <c r="BV84" s="110"/>
      <c r="BW84" s="110"/>
    </row>
    <row r="85" spans="1:75">
      <c r="A85" s="112">
        <v>880</v>
      </c>
      <c r="B85" s="112" t="s">
        <v>753</v>
      </c>
      <c r="C85" s="112" t="s">
        <v>352</v>
      </c>
      <c r="D85" s="112" t="s">
        <v>156</v>
      </c>
      <c r="E85" s="112" t="s">
        <v>617</v>
      </c>
      <c r="F85" s="114">
        <v>41940</v>
      </c>
      <c r="G85" s="112" t="s">
        <v>753</v>
      </c>
      <c r="H85" s="112" t="s">
        <v>545</v>
      </c>
      <c r="I85" s="112" t="s">
        <v>404</v>
      </c>
      <c r="J85" s="112" t="s">
        <v>618</v>
      </c>
      <c r="K85" s="110"/>
      <c r="L85" s="110"/>
      <c r="M85" s="112" t="s">
        <v>618</v>
      </c>
      <c r="N85" s="110"/>
      <c r="O85" s="112" t="b">
        <v>0</v>
      </c>
      <c r="P85" s="110"/>
      <c r="Q85" s="112" t="b">
        <v>0</v>
      </c>
      <c r="R85" s="112" t="s">
        <v>116</v>
      </c>
      <c r="S85" s="112" t="s">
        <v>531</v>
      </c>
      <c r="T85" s="112" t="s">
        <v>537</v>
      </c>
      <c r="U85" s="112" t="s">
        <v>729</v>
      </c>
      <c r="V85" s="112" t="s">
        <v>730</v>
      </c>
      <c r="W85" s="112" t="s">
        <v>547</v>
      </c>
      <c r="X85" s="110" t="str">
        <f>IFERROR(VLOOKUP(AF85,MeasureCost!$B$6:$B$80,1,FALSE),"")</f>
        <v>dxHP-Com-Split-55to65kBTUh-SEER-15.0</v>
      </c>
      <c r="Y85" s="110" t="str">
        <f>IFERROR(VLOOKUP(AE85,MeasureCost!$B$6:$B$80,1,FALSE),"")</f>
        <v>dxHP-Com-Split-55to65kBTUh-SEER-14.0</v>
      </c>
      <c r="Z85" s="112" t="s">
        <v>731</v>
      </c>
      <c r="AA85" s="112" t="s">
        <v>754</v>
      </c>
      <c r="AB85" s="112" t="s">
        <v>350</v>
      </c>
      <c r="AC85" s="112" t="s">
        <v>352</v>
      </c>
      <c r="AD85" s="110"/>
      <c r="AE85" s="112" t="s">
        <v>349</v>
      </c>
      <c r="AF85" s="112" t="s">
        <v>351</v>
      </c>
      <c r="AG85" s="112" t="s">
        <v>621</v>
      </c>
      <c r="AH85" s="110"/>
      <c r="AI85" s="112" t="b">
        <v>0</v>
      </c>
      <c r="AJ85" s="112" t="b">
        <v>0</v>
      </c>
      <c r="AK85" s="110"/>
      <c r="AL85" s="112" t="s">
        <v>622</v>
      </c>
      <c r="AM85" s="112" t="s">
        <v>731</v>
      </c>
      <c r="AN85" s="110"/>
      <c r="AO85" s="112" t="s">
        <v>618</v>
      </c>
      <c r="AP85" s="114">
        <v>42005</v>
      </c>
      <c r="AQ85" s="110"/>
      <c r="AR85" s="112" t="s">
        <v>545</v>
      </c>
      <c r="AS85" s="110"/>
      <c r="AT85" s="110"/>
      <c r="AU85" s="110"/>
      <c r="AV85" s="110"/>
      <c r="AW85" s="112" t="s">
        <v>404</v>
      </c>
      <c r="AX85" s="110"/>
      <c r="AY85" s="138">
        <f>VLOOKUP(X85,MeasureCost!$B$6:$Z$97,24,FALSE)</f>
        <v>1.5</v>
      </c>
      <c r="AZ85" s="138">
        <f>VLOOKUP(X85,MeasureCost!$B$6:$Z$97,25,FALSE)</f>
        <v>5</v>
      </c>
      <c r="BA85" s="138">
        <v>3</v>
      </c>
      <c r="BC85" s="97">
        <f>VLOOKUP(X85,MeasureCost!$B$6:$W$97,22,FALSE)</f>
        <v>1097.5404000000001</v>
      </c>
      <c r="BD85" s="97">
        <f>VLOOKUP(X85,MeasureCost!$B$6:$W$97,20,FALSE)</f>
        <v>594.5616</v>
      </c>
      <c r="BE85" s="97">
        <f t="shared" si="4"/>
        <v>2881.2251999999999</v>
      </c>
      <c r="BF85" s="97">
        <f>VLOOKUP(Y85,MeasureCost!$B$6:$W$97,22,FALSE)</f>
        <v>549.2484000000004</v>
      </c>
      <c r="BG85" s="97">
        <f>VLOOKUP(Y85,MeasureCost!$B$6:$W$97,20,FALSE)</f>
        <v>594.5616</v>
      </c>
      <c r="BH85" s="97">
        <f t="shared" si="5"/>
        <v>2332.9332000000004</v>
      </c>
      <c r="BI85" s="82">
        <f t="shared" si="6"/>
        <v>182.76399999999981</v>
      </c>
      <c r="BJ85" s="110"/>
      <c r="BK85" s="110" t="str">
        <f t="shared" si="7"/>
        <v>NE-HVAC-airHP-Split-55to65kBtuh-15p0seer-8p7hspf</v>
      </c>
      <c r="BL85" s="110"/>
      <c r="BM85" s="110"/>
      <c r="BN85" s="110"/>
      <c r="BO85" s="110"/>
      <c r="BP85" s="110"/>
      <c r="BQ85" s="110"/>
      <c r="BR85" s="110"/>
      <c r="BS85" s="110"/>
      <c r="BT85" s="110"/>
      <c r="BU85" s="110"/>
      <c r="BV85" s="110"/>
      <c r="BW85" s="110"/>
    </row>
    <row r="86" spans="1:75">
      <c r="A86" s="112">
        <v>881</v>
      </c>
      <c r="B86" s="112" t="s">
        <v>755</v>
      </c>
      <c r="C86" s="112" t="s">
        <v>354</v>
      </c>
      <c r="D86" s="112" t="s">
        <v>156</v>
      </c>
      <c r="E86" s="112" t="s">
        <v>617</v>
      </c>
      <c r="F86" s="114">
        <v>41940</v>
      </c>
      <c r="G86" s="112" t="s">
        <v>755</v>
      </c>
      <c r="H86" s="112" t="s">
        <v>545</v>
      </c>
      <c r="I86" s="112" t="s">
        <v>404</v>
      </c>
      <c r="J86" s="112" t="s">
        <v>618</v>
      </c>
      <c r="K86" s="110"/>
      <c r="L86" s="110"/>
      <c r="M86" s="112" t="s">
        <v>618</v>
      </c>
      <c r="N86" s="110"/>
      <c r="O86" s="112" t="b">
        <v>0</v>
      </c>
      <c r="P86" s="110"/>
      <c r="Q86" s="112" t="b">
        <v>0</v>
      </c>
      <c r="R86" s="112" t="s">
        <v>116</v>
      </c>
      <c r="S86" s="112" t="s">
        <v>531</v>
      </c>
      <c r="T86" s="112" t="s">
        <v>537</v>
      </c>
      <c r="U86" s="112" t="s">
        <v>729</v>
      </c>
      <c r="V86" s="112" t="s">
        <v>730</v>
      </c>
      <c r="W86" s="112" t="s">
        <v>547</v>
      </c>
      <c r="X86" s="110" t="str">
        <f>IFERROR(VLOOKUP(AF86,MeasureCost!$B$6:$B$80,1,FALSE),"")</f>
        <v>dxHP-Com-Split-55to65kBTUh-SEER-16.0</v>
      </c>
      <c r="Y86" s="110" t="str">
        <f>IFERROR(VLOOKUP(AE86,MeasureCost!$B$6:$B$80,1,FALSE),"")</f>
        <v>dxHP-Com-Split-55to65kBTUh-SEER-14.0</v>
      </c>
      <c r="Z86" s="112" t="s">
        <v>731</v>
      </c>
      <c r="AA86" s="112" t="s">
        <v>754</v>
      </c>
      <c r="AB86" s="112" t="s">
        <v>350</v>
      </c>
      <c r="AC86" s="112" t="s">
        <v>354</v>
      </c>
      <c r="AD86" s="110"/>
      <c r="AE86" s="112" t="s">
        <v>349</v>
      </c>
      <c r="AF86" s="112" t="s">
        <v>353</v>
      </c>
      <c r="AG86" s="112" t="s">
        <v>621</v>
      </c>
      <c r="AH86" s="110"/>
      <c r="AI86" s="112" t="b">
        <v>0</v>
      </c>
      <c r="AJ86" s="112" t="b">
        <v>0</v>
      </c>
      <c r="AK86" s="110"/>
      <c r="AL86" s="112" t="s">
        <v>622</v>
      </c>
      <c r="AM86" s="112" t="s">
        <v>731</v>
      </c>
      <c r="AN86" s="110"/>
      <c r="AO86" s="112" t="s">
        <v>618</v>
      </c>
      <c r="AP86" s="114">
        <v>42005</v>
      </c>
      <c r="AQ86" s="110"/>
      <c r="AR86" s="112" t="s">
        <v>545</v>
      </c>
      <c r="AS86" s="110"/>
      <c r="AT86" s="110"/>
      <c r="AU86" s="110"/>
      <c r="AV86" s="110"/>
      <c r="AW86" s="112" t="s">
        <v>404</v>
      </c>
      <c r="AX86" s="110"/>
      <c r="AY86" s="138">
        <f>VLOOKUP(X86,MeasureCost!$B$6:$Z$97,24,FALSE)</f>
        <v>1.5</v>
      </c>
      <c r="AZ86" s="138">
        <f>VLOOKUP(X86,MeasureCost!$B$6:$Z$97,25,FALSE)</f>
        <v>5</v>
      </c>
      <c r="BA86" s="138">
        <v>3</v>
      </c>
      <c r="BC86" s="97">
        <f>VLOOKUP(X86,MeasureCost!$B$6:$W$97,22,FALSE)</f>
        <v>1645.8324</v>
      </c>
      <c r="BD86" s="97">
        <f>VLOOKUP(X86,MeasureCost!$B$6:$W$97,20,FALSE)</f>
        <v>594.5616</v>
      </c>
      <c r="BE86" s="97">
        <f t="shared" si="4"/>
        <v>3429.5172000000002</v>
      </c>
      <c r="BF86" s="97">
        <f>VLOOKUP(Y86,MeasureCost!$B$6:$W$97,22,FALSE)</f>
        <v>549.2484000000004</v>
      </c>
      <c r="BG86" s="97">
        <f>VLOOKUP(Y86,MeasureCost!$B$6:$W$97,20,FALSE)</f>
        <v>594.5616</v>
      </c>
      <c r="BH86" s="97">
        <f t="shared" si="5"/>
        <v>2332.9332000000004</v>
      </c>
      <c r="BI86" s="82">
        <f t="shared" si="6"/>
        <v>365.52799999999996</v>
      </c>
      <c r="BJ86" s="110"/>
      <c r="BK86" s="110" t="str">
        <f t="shared" si="7"/>
        <v>NE-HVAC-airHP-Split-55to65kBtuh-16p0seer-9p0hspf</v>
      </c>
      <c r="BL86" s="110"/>
      <c r="BM86" s="110"/>
      <c r="BN86" s="110"/>
      <c r="BO86" s="110"/>
      <c r="BP86" s="110"/>
      <c r="BQ86" s="110"/>
      <c r="BR86" s="110"/>
      <c r="BS86" s="110"/>
      <c r="BT86" s="110"/>
      <c r="BU86" s="110"/>
      <c r="BV86" s="110"/>
      <c r="BW86" s="110"/>
    </row>
    <row r="87" spans="1:75">
      <c r="A87" s="112">
        <v>882</v>
      </c>
      <c r="B87" s="112" t="s">
        <v>756</v>
      </c>
      <c r="C87" s="112" t="s">
        <v>356</v>
      </c>
      <c r="D87" s="112" t="s">
        <v>156</v>
      </c>
      <c r="E87" s="112" t="s">
        <v>617</v>
      </c>
      <c r="F87" s="114">
        <v>41940</v>
      </c>
      <c r="G87" s="112" t="s">
        <v>756</v>
      </c>
      <c r="H87" s="112" t="s">
        <v>545</v>
      </c>
      <c r="I87" s="112" t="s">
        <v>404</v>
      </c>
      <c r="J87" s="112" t="s">
        <v>618</v>
      </c>
      <c r="K87" s="110"/>
      <c r="L87" s="110"/>
      <c r="M87" s="112" t="s">
        <v>618</v>
      </c>
      <c r="N87" s="110"/>
      <c r="O87" s="112" t="b">
        <v>0</v>
      </c>
      <c r="P87" s="110"/>
      <c r="Q87" s="112" t="b">
        <v>0</v>
      </c>
      <c r="R87" s="112" t="s">
        <v>116</v>
      </c>
      <c r="S87" s="112" t="s">
        <v>531</v>
      </c>
      <c r="T87" s="112" t="s">
        <v>537</v>
      </c>
      <c r="U87" s="112" t="s">
        <v>729</v>
      </c>
      <c r="V87" s="112" t="s">
        <v>730</v>
      </c>
      <c r="W87" s="112" t="s">
        <v>547</v>
      </c>
      <c r="X87" s="110" t="str">
        <f>IFERROR(VLOOKUP(AF87,MeasureCost!$B$6:$B$80,1,FALSE),"")</f>
        <v>dxHP-Com-Split-55to65kBTUh-SEER-17.0</v>
      </c>
      <c r="Y87" s="110" t="str">
        <f>IFERROR(VLOOKUP(AE87,MeasureCost!$B$6:$B$80,1,FALSE),"")</f>
        <v>dxHP-Com-Split-55to65kBTUh-SEER-14.0</v>
      </c>
      <c r="Z87" s="112" t="s">
        <v>731</v>
      </c>
      <c r="AA87" s="112" t="s">
        <v>754</v>
      </c>
      <c r="AB87" s="112" t="s">
        <v>350</v>
      </c>
      <c r="AC87" s="112" t="s">
        <v>356</v>
      </c>
      <c r="AD87" s="110"/>
      <c r="AE87" s="112" t="s">
        <v>349</v>
      </c>
      <c r="AF87" s="112" t="s">
        <v>355</v>
      </c>
      <c r="AG87" s="112" t="s">
        <v>621</v>
      </c>
      <c r="AH87" s="110"/>
      <c r="AI87" s="112" t="b">
        <v>0</v>
      </c>
      <c r="AJ87" s="112" t="b">
        <v>0</v>
      </c>
      <c r="AK87" s="110"/>
      <c r="AL87" s="112" t="s">
        <v>622</v>
      </c>
      <c r="AM87" s="112" t="s">
        <v>731</v>
      </c>
      <c r="AN87" s="110"/>
      <c r="AO87" s="112" t="s">
        <v>618</v>
      </c>
      <c r="AP87" s="114">
        <v>42005</v>
      </c>
      <c r="AQ87" s="110"/>
      <c r="AR87" s="112" t="s">
        <v>545</v>
      </c>
      <c r="AS87" s="110"/>
      <c r="AT87" s="110"/>
      <c r="AU87" s="110"/>
      <c r="AV87" s="110"/>
      <c r="AW87" s="112" t="s">
        <v>404</v>
      </c>
      <c r="AX87" s="110"/>
      <c r="AY87" s="138">
        <f>VLOOKUP(X87,MeasureCost!$B$6:$Z$97,24,FALSE)</f>
        <v>1.5</v>
      </c>
      <c r="AZ87" s="138">
        <f>VLOOKUP(X87,MeasureCost!$B$6:$Z$97,25,FALSE)</f>
        <v>5</v>
      </c>
      <c r="BA87" s="138">
        <v>3</v>
      </c>
      <c r="BC87" s="97">
        <f>VLOOKUP(X87,MeasureCost!$B$6:$W$97,22,FALSE)</f>
        <v>2194.1243999999997</v>
      </c>
      <c r="BD87" s="97">
        <f>VLOOKUP(X87,MeasureCost!$B$6:$W$97,20,FALSE)</f>
        <v>594.5616</v>
      </c>
      <c r="BE87" s="97">
        <f t="shared" si="4"/>
        <v>3977.8091999999997</v>
      </c>
      <c r="BF87" s="97">
        <f>VLOOKUP(Y87,MeasureCost!$B$6:$W$97,22,FALSE)</f>
        <v>549.2484000000004</v>
      </c>
      <c r="BG87" s="97">
        <f>VLOOKUP(Y87,MeasureCost!$B$6:$W$97,20,FALSE)</f>
        <v>594.5616</v>
      </c>
      <c r="BH87" s="97">
        <f t="shared" si="5"/>
        <v>2332.9332000000004</v>
      </c>
      <c r="BI87" s="82">
        <f t="shared" si="6"/>
        <v>548.2919999999998</v>
      </c>
      <c r="BJ87" s="110"/>
      <c r="BK87" s="110" t="str">
        <f t="shared" si="7"/>
        <v>NE-HVAC-airHP-Split-55to65kBtuh-17p0seer-9p4hspf</v>
      </c>
      <c r="BL87" s="110"/>
      <c r="BM87" s="110"/>
      <c r="BN87" s="110"/>
      <c r="BO87" s="110"/>
      <c r="BP87" s="110"/>
      <c r="BQ87" s="110"/>
      <c r="BR87" s="110"/>
      <c r="BS87" s="110"/>
      <c r="BT87" s="110"/>
      <c r="BU87" s="110"/>
      <c r="BV87" s="110"/>
      <c r="BW87" s="110"/>
    </row>
    <row r="88" spans="1:75">
      <c r="A88" s="112">
        <v>883</v>
      </c>
      <c r="B88" s="112" t="s">
        <v>757</v>
      </c>
      <c r="C88" s="112" t="s">
        <v>358</v>
      </c>
      <c r="D88" s="112" t="s">
        <v>156</v>
      </c>
      <c r="E88" s="112" t="s">
        <v>617</v>
      </c>
      <c r="F88" s="114">
        <v>41940</v>
      </c>
      <c r="G88" s="112" t="s">
        <v>757</v>
      </c>
      <c r="H88" s="112" t="s">
        <v>545</v>
      </c>
      <c r="I88" s="112" t="s">
        <v>404</v>
      </c>
      <c r="J88" s="112" t="s">
        <v>618</v>
      </c>
      <c r="K88" s="110"/>
      <c r="L88" s="110"/>
      <c r="M88" s="112" t="s">
        <v>618</v>
      </c>
      <c r="N88" s="110"/>
      <c r="O88" s="112" t="b">
        <v>0</v>
      </c>
      <c r="P88" s="110"/>
      <c r="Q88" s="112" t="b">
        <v>0</v>
      </c>
      <c r="R88" s="112" t="s">
        <v>116</v>
      </c>
      <c r="S88" s="112" t="s">
        <v>531</v>
      </c>
      <c r="T88" s="112" t="s">
        <v>537</v>
      </c>
      <c r="U88" s="112" t="s">
        <v>729</v>
      </c>
      <c r="V88" s="112" t="s">
        <v>730</v>
      </c>
      <c r="W88" s="112" t="s">
        <v>547</v>
      </c>
      <c r="X88" s="110" t="str">
        <f>IFERROR(VLOOKUP(AF88,MeasureCost!$B$6:$B$80,1,FALSE),"")</f>
        <v>dxHP-Com-Split-55to65kBTUh-SEER-18.0</v>
      </c>
      <c r="Y88" s="110" t="str">
        <f>IFERROR(VLOOKUP(AE88,MeasureCost!$B$6:$B$80,1,FALSE),"")</f>
        <v>dxHP-Com-Split-55to65kBTUh-SEER-14.0</v>
      </c>
      <c r="Z88" s="112" t="s">
        <v>731</v>
      </c>
      <c r="AA88" s="112" t="s">
        <v>754</v>
      </c>
      <c r="AB88" s="112" t="s">
        <v>350</v>
      </c>
      <c r="AC88" s="112" t="s">
        <v>358</v>
      </c>
      <c r="AD88" s="110"/>
      <c r="AE88" s="112" t="s">
        <v>349</v>
      </c>
      <c r="AF88" s="112" t="s">
        <v>357</v>
      </c>
      <c r="AG88" s="112" t="s">
        <v>621</v>
      </c>
      <c r="AH88" s="110"/>
      <c r="AI88" s="112" t="b">
        <v>0</v>
      </c>
      <c r="AJ88" s="112" t="b">
        <v>0</v>
      </c>
      <c r="AK88" s="110"/>
      <c r="AL88" s="112" t="s">
        <v>622</v>
      </c>
      <c r="AM88" s="112" t="s">
        <v>731</v>
      </c>
      <c r="AN88" s="110"/>
      <c r="AO88" s="112" t="s">
        <v>618</v>
      </c>
      <c r="AP88" s="114">
        <v>42005</v>
      </c>
      <c r="AQ88" s="110"/>
      <c r="AR88" s="112" t="s">
        <v>545</v>
      </c>
      <c r="AS88" s="110"/>
      <c r="AT88" s="110"/>
      <c r="AU88" s="110"/>
      <c r="AV88" s="110"/>
      <c r="AW88" s="112" t="s">
        <v>404</v>
      </c>
      <c r="AX88" s="110"/>
      <c r="AY88" s="138">
        <f>VLOOKUP(X88,MeasureCost!$B$6:$Z$97,24,FALSE)</f>
        <v>1.5</v>
      </c>
      <c r="AZ88" s="138">
        <f>VLOOKUP(X88,MeasureCost!$B$6:$Z$97,25,FALSE)</f>
        <v>5</v>
      </c>
      <c r="BA88" s="138">
        <v>3</v>
      </c>
      <c r="BC88" s="97">
        <f>VLOOKUP(X88,MeasureCost!$B$6:$W$97,22,FALSE)</f>
        <v>2742.4164000000005</v>
      </c>
      <c r="BD88" s="97">
        <f>VLOOKUP(X88,MeasureCost!$B$6:$W$97,20,FALSE)</f>
        <v>594.5616</v>
      </c>
      <c r="BE88" s="97">
        <f t="shared" si="4"/>
        <v>4526.101200000001</v>
      </c>
      <c r="BF88" s="97">
        <f>VLOOKUP(Y88,MeasureCost!$B$6:$W$97,22,FALSE)</f>
        <v>549.2484000000004</v>
      </c>
      <c r="BG88" s="97">
        <f>VLOOKUP(Y88,MeasureCost!$B$6:$W$97,20,FALSE)</f>
        <v>594.5616</v>
      </c>
      <c r="BH88" s="97">
        <f t="shared" si="5"/>
        <v>2332.9332000000004</v>
      </c>
      <c r="BI88" s="82">
        <f t="shared" si="6"/>
        <v>731.05600000000015</v>
      </c>
      <c r="BJ88" s="110"/>
      <c r="BK88" s="110" t="str">
        <f t="shared" si="7"/>
        <v>NE-HVAC-airHP-Split-55to65kBtuh-18p0seer-9p7hspf</v>
      </c>
      <c r="BL88" s="110"/>
      <c r="BM88" s="110"/>
      <c r="BN88" s="110"/>
      <c r="BO88" s="110"/>
      <c r="BP88" s="110"/>
      <c r="BQ88" s="110"/>
      <c r="BR88" s="110"/>
      <c r="BS88" s="110"/>
      <c r="BT88" s="110"/>
      <c r="BU88" s="110"/>
      <c r="BV88" s="110"/>
      <c r="BW88" s="110"/>
    </row>
    <row r="89" spans="1:75">
      <c r="A89" s="112">
        <v>884</v>
      </c>
      <c r="B89" s="112" t="s">
        <v>758</v>
      </c>
      <c r="C89" s="112" t="s">
        <v>352</v>
      </c>
      <c r="D89" s="112" t="s">
        <v>156</v>
      </c>
      <c r="E89" s="112" t="s">
        <v>617</v>
      </c>
      <c r="F89" s="114">
        <v>41940</v>
      </c>
      <c r="G89" s="112" t="s">
        <v>758</v>
      </c>
      <c r="H89" s="112" t="s">
        <v>545</v>
      </c>
      <c r="I89" s="112" t="s">
        <v>404</v>
      </c>
      <c r="J89" s="112" t="s">
        <v>618</v>
      </c>
      <c r="K89" s="110"/>
      <c r="L89" s="110"/>
      <c r="M89" s="112" t="s">
        <v>618</v>
      </c>
      <c r="N89" s="110"/>
      <c r="O89" s="112" t="b">
        <v>0</v>
      </c>
      <c r="P89" s="110"/>
      <c r="Q89" s="112" t="b">
        <v>0</v>
      </c>
      <c r="R89" s="112" t="s">
        <v>116</v>
      </c>
      <c r="S89" s="112" t="s">
        <v>531</v>
      </c>
      <c r="T89" s="112" t="s">
        <v>537</v>
      </c>
      <c r="U89" s="112" t="s">
        <v>729</v>
      </c>
      <c r="V89" s="112" t="s">
        <v>730</v>
      </c>
      <c r="W89" s="112" t="s">
        <v>547</v>
      </c>
      <c r="X89" s="110" t="str">
        <f>IFERROR(VLOOKUP(AF89,MeasureCost!$B$6:$B$80,1,FALSE),"")</f>
        <v>dxHP-Com-Split-55to65kBTUh-SEER-15.0</v>
      </c>
      <c r="Y89" s="110" t="str">
        <f>IFERROR(VLOOKUP(AE89,MeasureCost!$B$6:$B$80,1,FALSE),"")</f>
        <v>dxHP-Com-Split-55to65kBTUh-SEER-14.0</v>
      </c>
      <c r="Z89" s="112" t="s">
        <v>731</v>
      </c>
      <c r="AA89" s="112" t="s">
        <v>759</v>
      </c>
      <c r="AB89" s="112" t="s">
        <v>350</v>
      </c>
      <c r="AC89" s="112" t="s">
        <v>352</v>
      </c>
      <c r="AD89" s="110"/>
      <c r="AE89" s="112" t="s">
        <v>349</v>
      </c>
      <c r="AF89" s="112" t="s">
        <v>351</v>
      </c>
      <c r="AG89" s="112" t="s">
        <v>621</v>
      </c>
      <c r="AH89" s="110"/>
      <c r="AI89" s="112" t="b">
        <v>0</v>
      </c>
      <c r="AJ89" s="112" t="b">
        <v>0</v>
      </c>
      <c r="AK89" s="110"/>
      <c r="AL89" s="112" t="s">
        <v>622</v>
      </c>
      <c r="AM89" s="112" t="s">
        <v>731</v>
      </c>
      <c r="AN89" s="110"/>
      <c r="AO89" s="112" t="s">
        <v>618</v>
      </c>
      <c r="AP89" s="114">
        <v>42005</v>
      </c>
      <c r="AQ89" s="110"/>
      <c r="AR89" s="112" t="s">
        <v>545</v>
      </c>
      <c r="AS89" s="110"/>
      <c r="AT89" s="110"/>
      <c r="AU89" s="110"/>
      <c r="AV89" s="110"/>
      <c r="AW89" s="112" t="s">
        <v>404</v>
      </c>
      <c r="AX89" s="110"/>
      <c r="AY89" s="138">
        <f>VLOOKUP(X89,MeasureCost!$B$6:$Z$97,24,FALSE)</f>
        <v>1.5</v>
      </c>
      <c r="AZ89" s="138">
        <f>VLOOKUP(X89,MeasureCost!$B$6:$Z$97,25,FALSE)</f>
        <v>5</v>
      </c>
      <c r="BA89" s="138">
        <v>3</v>
      </c>
      <c r="BC89" s="97">
        <f>VLOOKUP(X89,MeasureCost!$B$6:$W$97,22,FALSE)</f>
        <v>1097.5404000000001</v>
      </c>
      <c r="BD89" s="97">
        <f>VLOOKUP(X89,MeasureCost!$B$6:$W$97,20,FALSE)</f>
        <v>594.5616</v>
      </c>
      <c r="BE89" s="97">
        <f t="shared" si="4"/>
        <v>2881.2251999999999</v>
      </c>
      <c r="BF89" s="97">
        <f>VLOOKUP(Y89,MeasureCost!$B$6:$W$97,22,FALSE)</f>
        <v>549.2484000000004</v>
      </c>
      <c r="BG89" s="97">
        <f>VLOOKUP(Y89,MeasureCost!$B$6:$W$97,20,FALSE)</f>
        <v>594.5616</v>
      </c>
      <c r="BH89" s="97">
        <f t="shared" si="5"/>
        <v>2332.9332000000004</v>
      </c>
      <c r="BI89" s="82">
        <f t="shared" si="6"/>
        <v>182.76399999999981</v>
      </c>
      <c r="BJ89" s="110"/>
      <c r="BK89" s="110" t="str">
        <f t="shared" si="7"/>
        <v>NE-HVAC-airHP-Split-55to65kBtuh-15p0seer-8p7hspf-wPreEcono</v>
      </c>
      <c r="BL89" s="110"/>
      <c r="BM89" s="110"/>
      <c r="BN89" s="110"/>
      <c r="BO89" s="110"/>
      <c r="BP89" s="110"/>
      <c r="BQ89" s="110"/>
      <c r="BR89" s="110"/>
      <c r="BS89" s="110"/>
      <c r="BT89" s="110"/>
      <c r="BU89" s="110"/>
      <c r="BV89" s="110"/>
      <c r="BW89" s="110"/>
    </row>
    <row r="90" spans="1:75">
      <c r="A90" s="112">
        <v>885</v>
      </c>
      <c r="B90" s="112" t="s">
        <v>760</v>
      </c>
      <c r="C90" s="112" t="s">
        <v>354</v>
      </c>
      <c r="D90" s="112" t="s">
        <v>156</v>
      </c>
      <c r="E90" s="112" t="s">
        <v>617</v>
      </c>
      <c r="F90" s="114">
        <v>41940</v>
      </c>
      <c r="G90" s="112" t="s">
        <v>760</v>
      </c>
      <c r="H90" s="112" t="s">
        <v>545</v>
      </c>
      <c r="I90" s="112" t="s">
        <v>404</v>
      </c>
      <c r="J90" s="112" t="s">
        <v>618</v>
      </c>
      <c r="K90" s="110"/>
      <c r="L90" s="110"/>
      <c r="M90" s="112" t="s">
        <v>618</v>
      </c>
      <c r="N90" s="110"/>
      <c r="O90" s="112" t="b">
        <v>0</v>
      </c>
      <c r="P90" s="110"/>
      <c r="Q90" s="112" t="b">
        <v>0</v>
      </c>
      <c r="R90" s="112" t="s">
        <v>116</v>
      </c>
      <c r="S90" s="112" t="s">
        <v>531</v>
      </c>
      <c r="T90" s="112" t="s">
        <v>537</v>
      </c>
      <c r="U90" s="112" t="s">
        <v>729</v>
      </c>
      <c r="V90" s="112" t="s">
        <v>730</v>
      </c>
      <c r="W90" s="112" t="s">
        <v>547</v>
      </c>
      <c r="X90" s="110" t="str">
        <f>IFERROR(VLOOKUP(AF90,MeasureCost!$B$6:$B$80,1,FALSE),"")</f>
        <v>dxHP-Com-Split-55to65kBTUh-SEER-16.0</v>
      </c>
      <c r="Y90" s="110" t="str">
        <f>IFERROR(VLOOKUP(AE90,MeasureCost!$B$6:$B$80,1,FALSE),"")</f>
        <v>dxHP-Com-Split-55to65kBTUh-SEER-14.0</v>
      </c>
      <c r="Z90" s="112" t="s">
        <v>731</v>
      </c>
      <c r="AA90" s="112" t="s">
        <v>759</v>
      </c>
      <c r="AB90" s="112" t="s">
        <v>350</v>
      </c>
      <c r="AC90" s="112" t="s">
        <v>354</v>
      </c>
      <c r="AD90" s="110"/>
      <c r="AE90" s="112" t="s">
        <v>349</v>
      </c>
      <c r="AF90" s="112" t="s">
        <v>353</v>
      </c>
      <c r="AG90" s="112" t="s">
        <v>621</v>
      </c>
      <c r="AH90" s="110"/>
      <c r="AI90" s="112" t="b">
        <v>0</v>
      </c>
      <c r="AJ90" s="112" t="b">
        <v>0</v>
      </c>
      <c r="AK90" s="110"/>
      <c r="AL90" s="112" t="s">
        <v>622</v>
      </c>
      <c r="AM90" s="112" t="s">
        <v>731</v>
      </c>
      <c r="AN90" s="110"/>
      <c r="AO90" s="112" t="s">
        <v>618</v>
      </c>
      <c r="AP90" s="114">
        <v>42005</v>
      </c>
      <c r="AQ90" s="110"/>
      <c r="AR90" s="112" t="s">
        <v>545</v>
      </c>
      <c r="AS90" s="110"/>
      <c r="AT90" s="110"/>
      <c r="AU90" s="110"/>
      <c r="AV90" s="110"/>
      <c r="AW90" s="112" t="s">
        <v>404</v>
      </c>
      <c r="AX90" s="110"/>
      <c r="AY90" s="138">
        <f>VLOOKUP(X90,MeasureCost!$B$6:$Z$97,24,FALSE)</f>
        <v>1.5</v>
      </c>
      <c r="AZ90" s="138">
        <f>VLOOKUP(X90,MeasureCost!$B$6:$Z$97,25,FALSE)</f>
        <v>5</v>
      </c>
      <c r="BA90" s="138">
        <v>3</v>
      </c>
      <c r="BC90" s="97">
        <f>VLOOKUP(X90,MeasureCost!$B$6:$W$97,22,FALSE)</f>
        <v>1645.8324</v>
      </c>
      <c r="BD90" s="97">
        <f>VLOOKUP(X90,MeasureCost!$B$6:$W$97,20,FALSE)</f>
        <v>594.5616</v>
      </c>
      <c r="BE90" s="97">
        <f t="shared" si="4"/>
        <v>3429.5172000000002</v>
      </c>
      <c r="BF90" s="97">
        <f>VLOOKUP(Y90,MeasureCost!$B$6:$W$97,22,FALSE)</f>
        <v>549.2484000000004</v>
      </c>
      <c r="BG90" s="97">
        <f>VLOOKUP(Y90,MeasureCost!$B$6:$W$97,20,FALSE)</f>
        <v>594.5616</v>
      </c>
      <c r="BH90" s="97">
        <f t="shared" si="5"/>
        <v>2332.9332000000004</v>
      </c>
      <c r="BI90" s="82">
        <f t="shared" si="6"/>
        <v>365.52799999999996</v>
      </c>
      <c r="BJ90" s="110"/>
      <c r="BK90" s="110" t="str">
        <f t="shared" si="7"/>
        <v>NE-HVAC-airHP-Split-55to65kBtuh-16p0seer-9p0hspf-wPreEcono</v>
      </c>
      <c r="BL90" s="110"/>
      <c r="BM90" s="110"/>
      <c r="BN90" s="110"/>
      <c r="BO90" s="110"/>
      <c r="BP90" s="110"/>
      <c r="BQ90" s="110"/>
      <c r="BR90" s="110"/>
      <c r="BS90" s="110"/>
      <c r="BT90" s="110"/>
      <c r="BU90" s="110"/>
      <c r="BV90" s="110"/>
      <c r="BW90" s="110"/>
    </row>
    <row r="91" spans="1:75">
      <c r="A91" s="112">
        <v>886</v>
      </c>
      <c r="B91" s="112" t="s">
        <v>761</v>
      </c>
      <c r="C91" s="112" t="s">
        <v>356</v>
      </c>
      <c r="D91" s="112" t="s">
        <v>156</v>
      </c>
      <c r="E91" s="112" t="s">
        <v>617</v>
      </c>
      <c r="F91" s="114">
        <v>41940</v>
      </c>
      <c r="G91" s="112" t="s">
        <v>761</v>
      </c>
      <c r="H91" s="112" t="s">
        <v>545</v>
      </c>
      <c r="I91" s="112" t="s">
        <v>404</v>
      </c>
      <c r="J91" s="112" t="s">
        <v>618</v>
      </c>
      <c r="K91" s="110"/>
      <c r="L91" s="110"/>
      <c r="M91" s="112" t="s">
        <v>618</v>
      </c>
      <c r="N91" s="110"/>
      <c r="O91" s="112" t="b">
        <v>0</v>
      </c>
      <c r="P91" s="110"/>
      <c r="Q91" s="112" t="b">
        <v>0</v>
      </c>
      <c r="R91" s="112" t="s">
        <v>116</v>
      </c>
      <c r="S91" s="112" t="s">
        <v>531</v>
      </c>
      <c r="T91" s="112" t="s">
        <v>537</v>
      </c>
      <c r="U91" s="112" t="s">
        <v>729</v>
      </c>
      <c r="V91" s="112" t="s">
        <v>730</v>
      </c>
      <c r="W91" s="112" t="s">
        <v>547</v>
      </c>
      <c r="X91" s="110" t="str">
        <f>IFERROR(VLOOKUP(AF91,MeasureCost!$B$6:$B$80,1,FALSE),"")</f>
        <v>dxHP-Com-Split-55to65kBTUh-SEER-17.0</v>
      </c>
      <c r="Y91" s="110" t="str">
        <f>IFERROR(VLOOKUP(AE91,MeasureCost!$B$6:$B$80,1,FALSE),"")</f>
        <v>dxHP-Com-Split-55to65kBTUh-SEER-14.0</v>
      </c>
      <c r="Z91" s="112" t="s">
        <v>731</v>
      </c>
      <c r="AA91" s="112" t="s">
        <v>759</v>
      </c>
      <c r="AB91" s="112" t="s">
        <v>350</v>
      </c>
      <c r="AC91" s="112" t="s">
        <v>356</v>
      </c>
      <c r="AD91" s="110"/>
      <c r="AE91" s="112" t="s">
        <v>349</v>
      </c>
      <c r="AF91" s="112" t="s">
        <v>355</v>
      </c>
      <c r="AG91" s="112" t="s">
        <v>621</v>
      </c>
      <c r="AH91" s="110"/>
      <c r="AI91" s="112" t="b">
        <v>0</v>
      </c>
      <c r="AJ91" s="112" t="b">
        <v>0</v>
      </c>
      <c r="AK91" s="110"/>
      <c r="AL91" s="112" t="s">
        <v>622</v>
      </c>
      <c r="AM91" s="112" t="s">
        <v>731</v>
      </c>
      <c r="AN91" s="110"/>
      <c r="AO91" s="112" t="s">
        <v>618</v>
      </c>
      <c r="AP91" s="114">
        <v>42005</v>
      </c>
      <c r="AQ91" s="110"/>
      <c r="AR91" s="112" t="s">
        <v>545</v>
      </c>
      <c r="AS91" s="110"/>
      <c r="AT91" s="110"/>
      <c r="AU91" s="110"/>
      <c r="AV91" s="110"/>
      <c r="AW91" s="112" t="s">
        <v>404</v>
      </c>
      <c r="AX91" s="110"/>
      <c r="AY91" s="138">
        <f>VLOOKUP(X91,MeasureCost!$B$6:$Z$97,24,FALSE)</f>
        <v>1.5</v>
      </c>
      <c r="AZ91" s="138">
        <f>VLOOKUP(X91,MeasureCost!$B$6:$Z$97,25,FALSE)</f>
        <v>5</v>
      </c>
      <c r="BA91" s="138">
        <v>3</v>
      </c>
      <c r="BC91" s="97">
        <f>VLOOKUP(X91,MeasureCost!$B$6:$W$97,22,FALSE)</f>
        <v>2194.1243999999997</v>
      </c>
      <c r="BD91" s="97">
        <f>VLOOKUP(X91,MeasureCost!$B$6:$W$97,20,FALSE)</f>
        <v>594.5616</v>
      </c>
      <c r="BE91" s="97">
        <f t="shared" si="4"/>
        <v>3977.8091999999997</v>
      </c>
      <c r="BF91" s="97">
        <f>VLOOKUP(Y91,MeasureCost!$B$6:$W$97,22,FALSE)</f>
        <v>549.2484000000004</v>
      </c>
      <c r="BG91" s="97">
        <f>VLOOKUP(Y91,MeasureCost!$B$6:$W$97,20,FALSE)</f>
        <v>594.5616</v>
      </c>
      <c r="BH91" s="97">
        <f t="shared" si="5"/>
        <v>2332.9332000000004</v>
      </c>
      <c r="BI91" s="82">
        <f t="shared" si="6"/>
        <v>548.2919999999998</v>
      </c>
      <c r="BJ91" s="110"/>
      <c r="BK91" s="110" t="str">
        <f t="shared" si="7"/>
        <v>NE-HVAC-airHP-Split-55to65kBtuh-17p0seer-9p4hspf-wPreEcono</v>
      </c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</row>
    <row r="92" spans="1:75">
      <c r="A92" s="112">
        <v>887</v>
      </c>
      <c r="B92" s="112" t="s">
        <v>762</v>
      </c>
      <c r="C92" s="112" t="s">
        <v>358</v>
      </c>
      <c r="D92" s="112" t="s">
        <v>156</v>
      </c>
      <c r="E92" s="112" t="s">
        <v>617</v>
      </c>
      <c r="F92" s="114">
        <v>41940</v>
      </c>
      <c r="G92" s="112" t="s">
        <v>762</v>
      </c>
      <c r="H92" s="112" t="s">
        <v>545</v>
      </c>
      <c r="I92" s="112" t="s">
        <v>404</v>
      </c>
      <c r="J92" s="112" t="s">
        <v>618</v>
      </c>
      <c r="K92" s="110"/>
      <c r="L92" s="110"/>
      <c r="M92" s="112" t="s">
        <v>618</v>
      </c>
      <c r="N92" s="110"/>
      <c r="O92" s="112" t="b">
        <v>0</v>
      </c>
      <c r="P92" s="110"/>
      <c r="Q92" s="112" t="b">
        <v>0</v>
      </c>
      <c r="R92" s="112" t="s">
        <v>116</v>
      </c>
      <c r="S92" s="112" t="s">
        <v>531</v>
      </c>
      <c r="T92" s="112" t="s">
        <v>537</v>
      </c>
      <c r="U92" s="112" t="s">
        <v>729</v>
      </c>
      <c r="V92" s="112" t="s">
        <v>730</v>
      </c>
      <c r="W92" s="112" t="s">
        <v>547</v>
      </c>
      <c r="X92" s="110" t="str">
        <f>IFERROR(VLOOKUP(AF92,MeasureCost!$B$6:$B$80,1,FALSE),"")</f>
        <v>dxHP-Com-Split-55to65kBTUh-SEER-18.0</v>
      </c>
      <c r="Y92" s="110" t="str">
        <f>IFERROR(VLOOKUP(AE92,MeasureCost!$B$6:$B$80,1,FALSE),"")</f>
        <v>dxHP-Com-Split-55to65kBTUh-SEER-14.0</v>
      </c>
      <c r="Z92" s="112" t="s">
        <v>731</v>
      </c>
      <c r="AA92" s="112" t="s">
        <v>759</v>
      </c>
      <c r="AB92" s="112" t="s">
        <v>350</v>
      </c>
      <c r="AC92" s="112" t="s">
        <v>358</v>
      </c>
      <c r="AD92" s="110"/>
      <c r="AE92" s="112" t="s">
        <v>349</v>
      </c>
      <c r="AF92" s="112" t="s">
        <v>357</v>
      </c>
      <c r="AG92" s="112" t="s">
        <v>621</v>
      </c>
      <c r="AH92" s="110"/>
      <c r="AI92" s="112" t="b">
        <v>0</v>
      </c>
      <c r="AJ92" s="112" t="b">
        <v>0</v>
      </c>
      <c r="AK92" s="110"/>
      <c r="AL92" s="112" t="s">
        <v>622</v>
      </c>
      <c r="AM92" s="112" t="s">
        <v>731</v>
      </c>
      <c r="AN92" s="110"/>
      <c r="AO92" s="112" t="s">
        <v>618</v>
      </c>
      <c r="AP92" s="114">
        <v>42005</v>
      </c>
      <c r="AQ92" s="110"/>
      <c r="AR92" s="112" t="s">
        <v>545</v>
      </c>
      <c r="AS92" s="110"/>
      <c r="AT92" s="110"/>
      <c r="AU92" s="110"/>
      <c r="AV92" s="110"/>
      <c r="AW92" s="112" t="s">
        <v>404</v>
      </c>
      <c r="AX92" s="110"/>
      <c r="AY92" s="138">
        <f>VLOOKUP(X92,MeasureCost!$B$6:$Z$97,24,FALSE)</f>
        <v>1.5</v>
      </c>
      <c r="AZ92" s="138">
        <f>VLOOKUP(X92,MeasureCost!$B$6:$Z$97,25,FALSE)</f>
        <v>5</v>
      </c>
      <c r="BA92" s="138">
        <v>3</v>
      </c>
      <c r="BC92" s="97">
        <f>VLOOKUP(X92,MeasureCost!$B$6:$W$97,22,FALSE)</f>
        <v>2742.4164000000005</v>
      </c>
      <c r="BD92" s="97">
        <f>VLOOKUP(X92,MeasureCost!$B$6:$W$97,20,FALSE)</f>
        <v>594.5616</v>
      </c>
      <c r="BE92" s="97">
        <f t="shared" si="4"/>
        <v>4526.101200000001</v>
      </c>
      <c r="BF92" s="97">
        <f>VLOOKUP(Y92,MeasureCost!$B$6:$W$97,22,FALSE)</f>
        <v>549.2484000000004</v>
      </c>
      <c r="BG92" s="97">
        <f>VLOOKUP(Y92,MeasureCost!$B$6:$W$97,20,FALSE)</f>
        <v>594.5616</v>
      </c>
      <c r="BH92" s="97">
        <f t="shared" si="5"/>
        <v>2332.9332000000004</v>
      </c>
      <c r="BI92" s="82">
        <f t="shared" si="6"/>
        <v>731.05600000000015</v>
      </c>
      <c r="BJ92" s="110"/>
      <c r="BK92" s="110" t="str">
        <f t="shared" si="7"/>
        <v>NE-HVAC-airHP-Split-55to65kBtuh-18p0seer-9p7hspf-wPreEcono</v>
      </c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110"/>
      <c r="BW92" s="110"/>
    </row>
    <row r="93" spans="1:75" s="110" customFormat="1">
      <c r="A93" s="112"/>
      <c r="B93" s="112"/>
      <c r="C93" s="112"/>
      <c r="D93" s="112"/>
      <c r="E93" s="112"/>
      <c r="F93" s="114"/>
      <c r="G93" s="112"/>
      <c r="H93" s="112"/>
      <c r="I93" s="112"/>
      <c r="J93" s="112"/>
      <c r="M93" s="112"/>
      <c r="O93" s="112"/>
      <c r="Q93" s="112"/>
      <c r="R93" s="112"/>
      <c r="S93" s="112"/>
      <c r="T93" s="112"/>
      <c r="U93" s="112"/>
      <c r="V93" s="112"/>
      <c r="W93" s="112"/>
      <c r="Z93" s="112"/>
      <c r="AA93" s="112"/>
      <c r="AB93" s="112"/>
      <c r="AC93" s="112"/>
      <c r="AE93" s="112"/>
      <c r="AF93" s="112"/>
      <c r="AG93" s="112"/>
      <c r="AI93" s="112"/>
      <c r="AJ93" s="112"/>
      <c r="AL93" s="112"/>
      <c r="AM93" s="112"/>
      <c r="AO93" s="112"/>
      <c r="AP93" s="114"/>
      <c r="AR93" s="112"/>
      <c r="AW93" s="112"/>
    </row>
    <row r="94" spans="1:75">
      <c r="A94" s="112">
        <v>901</v>
      </c>
      <c r="B94" s="112" t="s">
        <v>763</v>
      </c>
      <c r="C94" s="112" t="s">
        <v>426</v>
      </c>
      <c r="D94" s="112" t="s">
        <v>534</v>
      </c>
      <c r="E94" s="112" t="s">
        <v>764</v>
      </c>
      <c r="F94" s="114">
        <v>42139</v>
      </c>
      <c r="G94" s="112" t="s">
        <v>763</v>
      </c>
      <c r="H94" s="112" t="s">
        <v>545</v>
      </c>
      <c r="I94" s="112" t="s">
        <v>404</v>
      </c>
      <c r="J94" s="112" t="s">
        <v>618</v>
      </c>
      <c r="K94" s="112">
        <v>0</v>
      </c>
      <c r="L94" s="112">
        <v>0</v>
      </c>
      <c r="M94" s="112" t="s">
        <v>618</v>
      </c>
      <c r="N94" s="110"/>
      <c r="O94" s="112" t="b">
        <v>0</v>
      </c>
      <c r="P94" s="110"/>
      <c r="Q94" s="112" t="b">
        <v>0</v>
      </c>
      <c r="R94" s="112" t="s">
        <v>116</v>
      </c>
      <c r="S94" s="112" t="s">
        <v>531</v>
      </c>
      <c r="T94" s="112" t="s">
        <v>537</v>
      </c>
      <c r="U94" s="112" t="s">
        <v>550</v>
      </c>
      <c r="V94" s="112" t="s">
        <v>558</v>
      </c>
      <c r="W94" s="112" t="s">
        <v>559</v>
      </c>
      <c r="X94" s="100" t="s">
        <v>424</v>
      </c>
      <c r="Y94" s="100"/>
      <c r="Z94" s="112" t="s">
        <v>765</v>
      </c>
      <c r="AA94" s="112" t="s">
        <v>766</v>
      </c>
      <c r="AB94" s="112" t="s">
        <v>409</v>
      </c>
      <c r="AC94" s="112" t="s">
        <v>426</v>
      </c>
      <c r="AD94" s="110"/>
      <c r="AE94" s="112"/>
      <c r="AF94" s="112"/>
      <c r="AG94" s="112" t="s">
        <v>544</v>
      </c>
      <c r="AH94" s="110"/>
      <c r="AI94" s="112" t="b">
        <v>0</v>
      </c>
      <c r="AJ94" s="112" t="b">
        <v>0</v>
      </c>
      <c r="AK94" s="110"/>
      <c r="AL94" s="112" t="s">
        <v>622</v>
      </c>
      <c r="AM94" s="112" t="s">
        <v>765</v>
      </c>
      <c r="AN94" s="110"/>
      <c r="AO94" s="112" t="s">
        <v>618</v>
      </c>
      <c r="AP94" s="114">
        <v>42370</v>
      </c>
      <c r="AQ94" s="110"/>
      <c r="AR94" s="112" t="s">
        <v>767</v>
      </c>
      <c r="AS94" s="110"/>
      <c r="AT94" s="110"/>
      <c r="AU94" s="110"/>
      <c r="AV94" s="110"/>
      <c r="AW94" s="112" t="s">
        <v>404</v>
      </c>
      <c r="AX94" s="110"/>
      <c r="AY94" s="138">
        <f>VLOOKUP(X94,MeasureCost!$B$6:$Z$97,24,FALSE)</f>
        <v>90</v>
      </c>
      <c r="AZ94" s="138">
        <f>VLOOKUP(X94,MeasureCost!$B$6:$Z$97,25,FALSE)</f>
        <v>240</v>
      </c>
      <c r="BA94" s="138">
        <v>200</v>
      </c>
      <c r="BC94" s="97">
        <f>VLOOKUP(X94,MeasureCost!$B$6:$W$97,22,FALSE)</f>
        <v>1061</v>
      </c>
      <c r="BD94" s="97">
        <f>VLOOKUP(X94,MeasureCost!$B$6:$W$97,20,FALSE)</f>
        <v>17.61</v>
      </c>
      <c r="BE94" s="97">
        <f t="shared" ref="BE94:BE126" si="8">+BC94+BD94*BA94</f>
        <v>4583</v>
      </c>
      <c r="BF94" s="97"/>
      <c r="BG94" s="97"/>
      <c r="BH94" s="97"/>
      <c r="BI94" s="82"/>
      <c r="BJ94" s="110"/>
      <c r="BK94" s="110" t="str">
        <f t="shared" ref="BK94:BK126" si="9">+B94</f>
        <v>NG-HVAC-Blr-HW-lt300kBtuh-84p0AFUE-Drft</v>
      </c>
      <c r="BL94" s="110"/>
      <c r="BM94" s="110"/>
      <c r="BN94" s="110"/>
      <c r="BO94" s="110"/>
      <c r="BP94" s="110"/>
      <c r="BQ94" s="110"/>
      <c r="BR94" s="110"/>
      <c r="BS94" s="110"/>
      <c r="BT94" s="110">
        <f>MATCH(BV94,MeasureCost!$B$82:$B$96,0)</f>
        <v>7</v>
      </c>
      <c r="BU94" s="110" t="e">
        <f>MATCH(BW94,MeasureCost!$B$82:$B$98,0)</f>
        <v>#N/A</v>
      </c>
      <c r="BV94" s="100" t="s">
        <v>424</v>
      </c>
      <c r="BW94" s="100" t="s">
        <v>403</v>
      </c>
    </row>
    <row r="95" spans="1:75">
      <c r="A95" s="112">
        <v>902</v>
      </c>
      <c r="B95" s="112" t="s">
        <v>768</v>
      </c>
      <c r="C95" s="112" t="s">
        <v>428</v>
      </c>
      <c r="D95" s="112" t="s">
        <v>534</v>
      </c>
      <c r="E95" s="112" t="s">
        <v>764</v>
      </c>
      <c r="F95" s="114">
        <v>42139</v>
      </c>
      <c r="G95" s="112" t="s">
        <v>768</v>
      </c>
      <c r="H95" s="112" t="s">
        <v>545</v>
      </c>
      <c r="I95" s="112" t="s">
        <v>404</v>
      </c>
      <c r="J95" s="112" t="s">
        <v>618</v>
      </c>
      <c r="K95" s="112">
        <v>0</v>
      </c>
      <c r="L95" s="112">
        <v>0</v>
      </c>
      <c r="M95" s="112" t="s">
        <v>618</v>
      </c>
      <c r="N95" s="110"/>
      <c r="O95" s="112" t="b">
        <v>0</v>
      </c>
      <c r="P95" s="110"/>
      <c r="Q95" s="112" t="b">
        <v>0</v>
      </c>
      <c r="R95" s="112" t="s">
        <v>116</v>
      </c>
      <c r="S95" s="112" t="s">
        <v>531</v>
      </c>
      <c r="T95" s="112" t="s">
        <v>537</v>
      </c>
      <c r="U95" s="112" t="s">
        <v>550</v>
      </c>
      <c r="V95" s="112" t="s">
        <v>558</v>
      </c>
      <c r="W95" s="112" t="s">
        <v>559</v>
      </c>
      <c r="X95" s="100" t="s">
        <v>427</v>
      </c>
      <c r="Y95" s="100"/>
      <c r="Z95" s="112" t="s">
        <v>765</v>
      </c>
      <c r="AA95" s="112" t="s">
        <v>766</v>
      </c>
      <c r="AB95" s="112" t="s">
        <v>409</v>
      </c>
      <c r="AC95" s="112" t="s">
        <v>428</v>
      </c>
      <c r="AD95" s="110"/>
      <c r="AE95" s="112"/>
      <c r="AF95" s="112"/>
      <c r="AG95" s="112" t="s">
        <v>544</v>
      </c>
      <c r="AH95" s="110"/>
      <c r="AI95" s="112" t="b">
        <v>0</v>
      </c>
      <c r="AJ95" s="112" t="b">
        <v>0</v>
      </c>
      <c r="AK95" s="110"/>
      <c r="AL95" s="112" t="s">
        <v>622</v>
      </c>
      <c r="AM95" s="112" t="s">
        <v>765</v>
      </c>
      <c r="AN95" s="110"/>
      <c r="AO95" s="112" t="s">
        <v>618</v>
      </c>
      <c r="AP95" s="114">
        <v>42370</v>
      </c>
      <c r="AQ95" s="110"/>
      <c r="AR95" s="112" t="s">
        <v>767</v>
      </c>
      <c r="AS95" s="110"/>
      <c r="AT95" s="110"/>
      <c r="AU95" s="110"/>
      <c r="AV95" s="110"/>
      <c r="AW95" s="112" t="s">
        <v>404</v>
      </c>
      <c r="AX95" s="110"/>
      <c r="AY95" s="138">
        <f>VLOOKUP(X95,MeasureCost!$B$6:$Z$97,24,FALSE)</f>
        <v>90</v>
      </c>
      <c r="AZ95" s="138">
        <f>VLOOKUP(X95,MeasureCost!$B$6:$Z$97,25,FALSE)</f>
        <v>240</v>
      </c>
      <c r="BA95" s="138">
        <v>200</v>
      </c>
      <c r="BC95" s="97">
        <f>VLOOKUP(X95,MeasureCost!$B$6:$W$97,22,FALSE)</f>
        <v>1784</v>
      </c>
      <c r="BD95" s="97">
        <f>VLOOKUP(X95,MeasureCost!$B$6:$W$97,20,FALSE)</f>
        <v>17.61</v>
      </c>
      <c r="BE95" s="97">
        <f t="shared" si="8"/>
        <v>5306</v>
      </c>
      <c r="BF95" s="97"/>
      <c r="BG95" s="97"/>
      <c r="BH95" s="97"/>
      <c r="BI95" s="82"/>
      <c r="BJ95" s="110"/>
      <c r="BK95" s="110" t="str">
        <f t="shared" si="9"/>
        <v>NG-HVAC-Blr-HW-lt300kBtuh-84p5AFUE-Drft</v>
      </c>
      <c r="BL95" s="110"/>
      <c r="BM95" s="110"/>
      <c r="BN95" s="110"/>
      <c r="BO95" s="110"/>
      <c r="BP95" s="110"/>
      <c r="BQ95" s="110"/>
      <c r="BR95" s="110"/>
      <c r="BS95" s="110"/>
      <c r="BT95" s="110">
        <f>MATCH(BV95,MeasureCost!$B$82:$B$96,0)</f>
        <v>6</v>
      </c>
      <c r="BU95" s="110" t="e">
        <f>MATCH(BW95,MeasureCost!$B$82:$B$98,0)</f>
        <v>#N/A</v>
      </c>
      <c r="BV95" s="100" t="s">
        <v>427</v>
      </c>
      <c r="BW95" s="100" t="s">
        <v>403</v>
      </c>
    </row>
    <row r="96" spans="1:75">
      <c r="A96" s="112">
        <v>903</v>
      </c>
      <c r="B96" s="112" t="s">
        <v>769</v>
      </c>
      <c r="C96" s="112" t="s">
        <v>430</v>
      </c>
      <c r="D96" s="112" t="s">
        <v>534</v>
      </c>
      <c r="E96" s="112" t="s">
        <v>764</v>
      </c>
      <c r="F96" s="114">
        <v>42139</v>
      </c>
      <c r="G96" s="112" t="s">
        <v>769</v>
      </c>
      <c r="H96" s="112" t="s">
        <v>545</v>
      </c>
      <c r="I96" s="112" t="s">
        <v>404</v>
      </c>
      <c r="J96" s="112" t="s">
        <v>618</v>
      </c>
      <c r="K96" s="112">
        <v>0</v>
      </c>
      <c r="L96" s="112">
        <v>0</v>
      </c>
      <c r="M96" s="112" t="s">
        <v>618</v>
      </c>
      <c r="N96" s="110"/>
      <c r="O96" s="112" t="b">
        <v>0</v>
      </c>
      <c r="P96" s="110"/>
      <c r="Q96" s="112" t="b">
        <v>0</v>
      </c>
      <c r="R96" s="112" t="s">
        <v>116</v>
      </c>
      <c r="S96" s="112" t="s">
        <v>531</v>
      </c>
      <c r="T96" s="112" t="s">
        <v>537</v>
      </c>
      <c r="U96" s="112" t="s">
        <v>550</v>
      </c>
      <c r="V96" s="112" t="s">
        <v>558</v>
      </c>
      <c r="W96" s="112" t="s">
        <v>559</v>
      </c>
      <c r="X96" s="100" t="s">
        <v>429</v>
      </c>
      <c r="Y96" s="100"/>
      <c r="Z96" s="112" t="s">
        <v>765</v>
      </c>
      <c r="AA96" s="112" t="s">
        <v>766</v>
      </c>
      <c r="AB96" s="112" t="s">
        <v>409</v>
      </c>
      <c r="AC96" s="112" t="s">
        <v>430</v>
      </c>
      <c r="AD96" s="110"/>
      <c r="AE96" s="112"/>
      <c r="AF96" s="112"/>
      <c r="AG96" s="112" t="s">
        <v>544</v>
      </c>
      <c r="AH96" s="110"/>
      <c r="AI96" s="112" t="b">
        <v>0</v>
      </c>
      <c r="AJ96" s="112" t="b">
        <v>0</v>
      </c>
      <c r="AK96" s="110"/>
      <c r="AL96" s="112" t="s">
        <v>622</v>
      </c>
      <c r="AM96" s="112" t="s">
        <v>765</v>
      </c>
      <c r="AN96" s="110"/>
      <c r="AO96" s="112" t="s">
        <v>618</v>
      </c>
      <c r="AP96" s="114">
        <v>42370</v>
      </c>
      <c r="AQ96" s="110"/>
      <c r="AR96" s="112" t="s">
        <v>767</v>
      </c>
      <c r="AS96" s="110"/>
      <c r="AT96" s="110"/>
      <c r="AU96" s="110"/>
      <c r="AV96" s="110"/>
      <c r="AW96" s="112" t="s">
        <v>404</v>
      </c>
      <c r="AX96" s="110"/>
      <c r="AY96" s="138">
        <f>VLOOKUP(X96,MeasureCost!$B$6:$Z$97,24,FALSE)</f>
        <v>90</v>
      </c>
      <c r="AZ96" s="138">
        <f>VLOOKUP(X96,MeasureCost!$B$6:$Z$97,25,FALSE)</f>
        <v>240</v>
      </c>
      <c r="BA96" s="138">
        <v>200</v>
      </c>
      <c r="BC96" s="97">
        <f>VLOOKUP(X96,MeasureCost!$B$6:$W$97,22,FALSE)</f>
        <v>2506</v>
      </c>
      <c r="BD96" s="97">
        <f>VLOOKUP(X96,MeasureCost!$B$6:$W$97,20,FALSE)</f>
        <v>17.61</v>
      </c>
      <c r="BE96" s="97">
        <f t="shared" si="8"/>
        <v>6028</v>
      </c>
      <c r="BF96" s="97"/>
      <c r="BG96" s="97"/>
      <c r="BH96" s="97"/>
      <c r="BI96" s="82"/>
      <c r="BJ96" s="110"/>
      <c r="BK96" s="110" t="str">
        <f t="shared" si="9"/>
        <v>NG-HVAC-Blr-HW-lt300kBtuh-85p0AFUE-Drft</v>
      </c>
      <c r="BL96" s="110"/>
      <c r="BM96" s="110"/>
      <c r="BN96" s="110"/>
      <c r="BO96" s="110"/>
      <c r="BP96" s="110"/>
      <c r="BQ96" s="110"/>
      <c r="BR96" s="110"/>
      <c r="BS96" s="110"/>
      <c r="BT96" s="110">
        <f>MATCH(BV96,MeasureCost!$B$82:$B$96,0)</f>
        <v>8</v>
      </c>
      <c r="BU96" s="110" t="e">
        <f>MATCH(BW96,MeasureCost!$B$82:$B$98,0)</f>
        <v>#N/A</v>
      </c>
      <c r="BV96" s="100" t="s">
        <v>429</v>
      </c>
      <c r="BW96" s="100" t="s">
        <v>403</v>
      </c>
    </row>
    <row r="97" spans="1:75">
      <c r="A97" s="112">
        <v>904</v>
      </c>
      <c r="B97" s="112" t="s">
        <v>770</v>
      </c>
      <c r="C97" s="112" t="s">
        <v>432</v>
      </c>
      <c r="D97" s="112" t="s">
        <v>534</v>
      </c>
      <c r="E97" s="112" t="s">
        <v>764</v>
      </c>
      <c r="F97" s="114">
        <v>42139</v>
      </c>
      <c r="G97" s="112" t="s">
        <v>770</v>
      </c>
      <c r="H97" s="112" t="s">
        <v>545</v>
      </c>
      <c r="I97" s="112" t="s">
        <v>404</v>
      </c>
      <c r="J97" s="112" t="s">
        <v>618</v>
      </c>
      <c r="K97" s="112">
        <v>0</v>
      </c>
      <c r="L97" s="112">
        <v>0</v>
      </c>
      <c r="M97" s="112" t="s">
        <v>618</v>
      </c>
      <c r="N97" s="110"/>
      <c r="O97" s="112" t="b">
        <v>0</v>
      </c>
      <c r="P97" s="110"/>
      <c r="Q97" s="112" t="b">
        <v>0</v>
      </c>
      <c r="R97" s="112" t="s">
        <v>116</v>
      </c>
      <c r="S97" s="112" t="s">
        <v>531</v>
      </c>
      <c r="T97" s="112" t="s">
        <v>537</v>
      </c>
      <c r="U97" s="112" t="s">
        <v>550</v>
      </c>
      <c r="V97" s="112" t="s">
        <v>558</v>
      </c>
      <c r="W97" s="112" t="s">
        <v>559</v>
      </c>
      <c r="X97" s="100"/>
      <c r="Y97" s="100"/>
      <c r="Z97" s="112" t="s">
        <v>765</v>
      </c>
      <c r="AA97" s="112" t="s">
        <v>766</v>
      </c>
      <c r="AB97" s="112" t="s">
        <v>409</v>
      </c>
      <c r="AC97" s="112" t="s">
        <v>432</v>
      </c>
      <c r="AD97" s="110"/>
      <c r="AE97" s="112"/>
      <c r="AF97" s="112"/>
      <c r="AG97" s="112" t="s">
        <v>544</v>
      </c>
      <c r="AH97" s="110"/>
      <c r="AI97" s="112" t="b">
        <v>0</v>
      </c>
      <c r="AJ97" s="112" t="b">
        <v>0</v>
      </c>
      <c r="AK97" s="110"/>
      <c r="AL97" s="112" t="s">
        <v>622</v>
      </c>
      <c r="AM97" s="112" t="s">
        <v>765</v>
      </c>
      <c r="AN97" s="110"/>
      <c r="AO97" s="112" t="s">
        <v>618</v>
      </c>
      <c r="AP97" s="114">
        <v>42370</v>
      </c>
      <c r="AQ97" s="110"/>
      <c r="AR97" s="112" t="s">
        <v>767</v>
      </c>
      <c r="AS97" s="110"/>
      <c r="AT97" s="110"/>
      <c r="AU97" s="110"/>
      <c r="AV97" s="110"/>
      <c r="AW97" s="112" t="s">
        <v>404</v>
      </c>
      <c r="AX97" s="110"/>
      <c r="AY97" s="138"/>
      <c r="AZ97" s="138"/>
      <c r="BA97" s="138"/>
      <c r="BC97" s="97"/>
      <c r="BD97" s="97"/>
      <c r="BE97" s="97"/>
      <c r="BF97" s="97"/>
      <c r="BG97" s="97"/>
      <c r="BH97" s="97"/>
      <c r="BI97" s="82"/>
      <c r="BJ97" s="110"/>
      <c r="BK97" s="110"/>
      <c r="BL97" s="110"/>
      <c r="BM97" s="110"/>
      <c r="BN97" s="110"/>
      <c r="BO97" s="110"/>
      <c r="BP97" s="110"/>
      <c r="BQ97" s="110"/>
      <c r="BR97" s="110"/>
      <c r="BS97" s="110"/>
      <c r="BT97" s="110" t="e">
        <f>MATCH(BV97,MeasureCost!$B$82:$B$96,0)</f>
        <v>#N/A</v>
      </c>
      <c r="BU97" s="110" t="e">
        <f>MATCH(BW97,MeasureCost!$B$82:$B$98,0)</f>
        <v>#N/A</v>
      </c>
      <c r="BV97" s="100" t="s">
        <v>431</v>
      </c>
      <c r="BW97" s="100" t="s">
        <v>403</v>
      </c>
    </row>
    <row r="98" spans="1:75">
      <c r="A98" s="112">
        <v>905</v>
      </c>
      <c r="B98" s="112" t="s">
        <v>771</v>
      </c>
      <c r="C98" s="112" t="s">
        <v>436</v>
      </c>
      <c r="D98" s="112" t="s">
        <v>534</v>
      </c>
      <c r="E98" s="112" t="s">
        <v>764</v>
      </c>
      <c r="F98" s="114">
        <v>42139</v>
      </c>
      <c r="G98" s="112" t="s">
        <v>771</v>
      </c>
      <c r="H98" s="112" t="s">
        <v>545</v>
      </c>
      <c r="I98" s="112" t="s">
        <v>404</v>
      </c>
      <c r="J98" s="112" t="s">
        <v>618</v>
      </c>
      <c r="K98" s="112">
        <v>0</v>
      </c>
      <c r="L98" s="112">
        <v>0</v>
      </c>
      <c r="M98" s="112" t="s">
        <v>618</v>
      </c>
      <c r="N98" s="110"/>
      <c r="O98" s="112" t="b">
        <v>0</v>
      </c>
      <c r="P98" s="110"/>
      <c r="Q98" s="112" t="b">
        <v>0</v>
      </c>
      <c r="R98" s="112" t="s">
        <v>116</v>
      </c>
      <c r="S98" s="112" t="s">
        <v>531</v>
      </c>
      <c r="T98" s="112" t="s">
        <v>537</v>
      </c>
      <c r="U98" s="112" t="s">
        <v>550</v>
      </c>
      <c r="V98" s="112" t="s">
        <v>558</v>
      </c>
      <c r="W98" s="112" t="s">
        <v>559</v>
      </c>
      <c r="X98" s="100"/>
      <c r="Y98" s="100"/>
      <c r="Z98" s="112" t="s">
        <v>765</v>
      </c>
      <c r="AA98" s="112" t="s">
        <v>766</v>
      </c>
      <c r="AB98" s="112" t="s">
        <v>409</v>
      </c>
      <c r="AC98" s="112" t="s">
        <v>436</v>
      </c>
      <c r="AD98" s="110"/>
      <c r="AE98" s="112"/>
      <c r="AF98" s="112"/>
      <c r="AG98" s="112" t="s">
        <v>544</v>
      </c>
      <c r="AH98" s="110"/>
      <c r="AI98" s="112" t="b">
        <v>0</v>
      </c>
      <c r="AJ98" s="112" t="b">
        <v>0</v>
      </c>
      <c r="AK98" s="110"/>
      <c r="AL98" s="112" t="s">
        <v>622</v>
      </c>
      <c r="AM98" s="112" t="s">
        <v>765</v>
      </c>
      <c r="AN98" s="110"/>
      <c r="AO98" s="112" t="s">
        <v>618</v>
      </c>
      <c r="AP98" s="114">
        <v>42370</v>
      </c>
      <c r="AQ98" s="110"/>
      <c r="AR98" s="112" t="s">
        <v>767</v>
      </c>
      <c r="AS98" s="110"/>
      <c r="AT98" s="110"/>
      <c r="AU98" s="110"/>
      <c r="AV98" s="110"/>
      <c r="AW98" s="112" t="s">
        <v>404</v>
      </c>
      <c r="AX98" s="110"/>
      <c r="AY98" s="138"/>
      <c r="AZ98" s="138"/>
      <c r="BA98" s="138"/>
      <c r="BC98" s="97"/>
      <c r="BD98" s="97"/>
      <c r="BE98" s="97"/>
      <c r="BF98" s="97"/>
      <c r="BG98" s="97"/>
      <c r="BH98" s="97"/>
      <c r="BI98" s="82"/>
      <c r="BJ98" s="110"/>
      <c r="BK98" s="110"/>
      <c r="BL98" s="110"/>
      <c r="BM98" s="110"/>
      <c r="BN98" s="110"/>
      <c r="BO98" s="110"/>
      <c r="BP98" s="110"/>
      <c r="BQ98" s="110"/>
      <c r="BR98" s="110"/>
      <c r="BS98" s="110"/>
      <c r="BT98" s="110" t="e">
        <f>MATCH(BV98,MeasureCost!$B$82:$B$96,0)</f>
        <v>#N/A</v>
      </c>
      <c r="BU98" s="110" t="e">
        <f>MATCH(BW98,MeasureCost!$B$82:$B$98,0)</f>
        <v>#N/A</v>
      </c>
      <c r="BV98" s="100" t="s">
        <v>434</v>
      </c>
      <c r="BW98" s="100" t="s">
        <v>403</v>
      </c>
    </row>
    <row r="99" spans="1:75">
      <c r="A99" s="112">
        <v>906</v>
      </c>
      <c r="B99" s="112" t="s">
        <v>772</v>
      </c>
      <c r="C99" s="112" t="s">
        <v>438</v>
      </c>
      <c r="D99" s="112" t="s">
        <v>534</v>
      </c>
      <c r="E99" s="112" t="s">
        <v>764</v>
      </c>
      <c r="F99" s="114">
        <v>42139</v>
      </c>
      <c r="G99" s="112" t="s">
        <v>772</v>
      </c>
      <c r="H99" s="112" t="s">
        <v>545</v>
      </c>
      <c r="I99" s="112" t="s">
        <v>404</v>
      </c>
      <c r="J99" s="112" t="s">
        <v>618</v>
      </c>
      <c r="K99" s="112">
        <v>0</v>
      </c>
      <c r="L99" s="112">
        <v>0</v>
      </c>
      <c r="M99" s="112" t="s">
        <v>618</v>
      </c>
      <c r="N99" s="110"/>
      <c r="O99" s="112" t="b">
        <v>0</v>
      </c>
      <c r="P99" s="110"/>
      <c r="Q99" s="112" t="b">
        <v>0</v>
      </c>
      <c r="R99" s="112" t="s">
        <v>116</v>
      </c>
      <c r="S99" s="112" t="s">
        <v>531</v>
      </c>
      <c r="T99" s="112" t="s">
        <v>537</v>
      </c>
      <c r="U99" s="112" t="s">
        <v>550</v>
      </c>
      <c r="V99" s="112" t="s">
        <v>558</v>
      </c>
      <c r="W99" s="112" t="s">
        <v>559</v>
      </c>
      <c r="X99" s="100"/>
      <c r="Y99" s="100"/>
      <c r="Z99" s="112" t="s">
        <v>765</v>
      </c>
      <c r="AA99" s="112" t="s">
        <v>766</v>
      </c>
      <c r="AB99" s="112" t="s">
        <v>409</v>
      </c>
      <c r="AC99" s="112" t="s">
        <v>438</v>
      </c>
      <c r="AD99" s="110"/>
      <c r="AE99" s="112"/>
      <c r="AF99" s="110"/>
      <c r="AG99" s="112" t="s">
        <v>544</v>
      </c>
      <c r="AH99" s="110"/>
      <c r="AI99" s="112" t="b">
        <v>0</v>
      </c>
      <c r="AJ99" s="112" t="b">
        <v>0</v>
      </c>
      <c r="AK99" s="110"/>
      <c r="AL99" s="112" t="s">
        <v>622</v>
      </c>
      <c r="AM99" s="112" t="s">
        <v>765</v>
      </c>
      <c r="AN99" s="110"/>
      <c r="AO99" s="112" t="s">
        <v>618</v>
      </c>
      <c r="AP99" s="114">
        <v>42370</v>
      </c>
      <c r="AQ99" s="110"/>
      <c r="AR99" s="112" t="s">
        <v>767</v>
      </c>
      <c r="AS99" s="110"/>
      <c r="AT99" s="110"/>
      <c r="AU99" s="110"/>
      <c r="AV99" s="110"/>
      <c r="AW99" s="112" t="s">
        <v>404</v>
      </c>
      <c r="AX99" s="110"/>
      <c r="AY99" s="138"/>
      <c r="AZ99" s="138"/>
      <c r="BA99" s="138"/>
      <c r="BC99" s="97"/>
      <c r="BD99" s="97"/>
      <c r="BE99" s="97"/>
      <c r="BF99" s="97"/>
      <c r="BG99" s="97"/>
      <c r="BH99" s="97"/>
      <c r="BI99" s="82"/>
      <c r="BJ99" s="110"/>
      <c r="BK99" s="110"/>
      <c r="BL99" s="110"/>
      <c r="BM99" s="110"/>
      <c r="BN99" s="110"/>
      <c r="BO99" s="110"/>
      <c r="BP99" s="110"/>
      <c r="BQ99" s="110"/>
      <c r="BR99" s="110"/>
      <c r="BS99" s="110"/>
      <c r="BT99" s="110" t="e">
        <f>MATCH(BV99,MeasureCost!$B$82:$B$96,0)</f>
        <v>#N/A</v>
      </c>
      <c r="BU99" s="110" t="e">
        <f>MATCH(BW99,MeasureCost!$B$82:$B$98,0)</f>
        <v>#N/A</v>
      </c>
      <c r="BV99" s="100" t="s">
        <v>434</v>
      </c>
      <c r="BW99" s="100" t="s">
        <v>403</v>
      </c>
    </row>
    <row r="100" spans="1:75">
      <c r="A100" s="112">
        <v>907</v>
      </c>
      <c r="B100" s="112" t="s">
        <v>773</v>
      </c>
      <c r="C100" s="112" t="s">
        <v>440</v>
      </c>
      <c r="D100" s="112" t="s">
        <v>534</v>
      </c>
      <c r="E100" s="112" t="s">
        <v>764</v>
      </c>
      <c r="F100" s="114">
        <v>42139</v>
      </c>
      <c r="G100" s="112" t="s">
        <v>773</v>
      </c>
      <c r="H100" s="112" t="s">
        <v>545</v>
      </c>
      <c r="I100" s="112" t="s">
        <v>404</v>
      </c>
      <c r="J100" s="112" t="s">
        <v>618</v>
      </c>
      <c r="K100" s="112">
        <v>0</v>
      </c>
      <c r="L100" s="112">
        <v>0</v>
      </c>
      <c r="M100" s="112" t="s">
        <v>618</v>
      </c>
      <c r="N100" s="110"/>
      <c r="O100" s="112" t="b">
        <v>0</v>
      </c>
      <c r="P100" s="110"/>
      <c r="Q100" s="112" t="b">
        <v>0</v>
      </c>
      <c r="R100" s="112" t="s">
        <v>116</v>
      </c>
      <c r="S100" s="112" t="s">
        <v>531</v>
      </c>
      <c r="T100" s="112" t="s">
        <v>537</v>
      </c>
      <c r="U100" s="112" t="s">
        <v>550</v>
      </c>
      <c r="V100" s="112" t="s">
        <v>558</v>
      </c>
      <c r="W100" s="112" t="s">
        <v>559</v>
      </c>
      <c r="X100" s="100"/>
      <c r="Y100" s="100"/>
      <c r="Z100" s="112" t="s">
        <v>765</v>
      </c>
      <c r="AA100" s="112" t="s">
        <v>766</v>
      </c>
      <c r="AB100" s="112" t="s">
        <v>409</v>
      </c>
      <c r="AC100" s="112" t="s">
        <v>440</v>
      </c>
      <c r="AD100" s="110"/>
      <c r="AE100" s="112"/>
      <c r="AF100" s="110"/>
      <c r="AG100" s="112" t="s">
        <v>544</v>
      </c>
      <c r="AH100" s="110"/>
      <c r="AI100" s="112" t="b">
        <v>0</v>
      </c>
      <c r="AJ100" s="112" t="b">
        <v>0</v>
      </c>
      <c r="AK100" s="110"/>
      <c r="AL100" s="112" t="s">
        <v>622</v>
      </c>
      <c r="AM100" s="112" t="s">
        <v>765</v>
      </c>
      <c r="AN100" s="110"/>
      <c r="AO100" s="112" t="s">
        <v>618</v>
      </c>
      <c r="AP100" s="114">
        <v>42370</v>
      </c>
      <c r="AQ100" s="110"/>
      <c r="AR100" s="112" t="s">
        <v>767</v>
      </c>
      <c r="AS100" s="110"/>
      <c r="AT100" s="110"/>
      <c r="AU100" s="110"/>
      <c r="AV100" s="110"/>
      <c r="AW100" s="112" t="s">
        <v>404</v>
      </c>
      <c r="AX100" s="110"/>
      <c r="AY100" s="138"/>
      <c r="AZ100" s="138"/>
      <c r="BA100" s="138"/>
      <c r="BC100" s="97"/>
      <c r="BD100" s="97"/>
      <c r="BE100" s="97"/>
      <c r="BF100" s="97"/>
      <c r="BG100" s="97"/>
      <c r="BH100" s="97"/>
      <c r="BI100" s="82"/>
      <c r="BJ100" s="110"/>
      <c r="BK100" s="110"/>
      <c r="BL100" s="110"/>
      <c r="BM100" s="110"/>
      <c r="BN100" s="110"/>
      <c r="BO100" s="110"/>
      <c r="BP100" s="110"/>
      <c r="BQ100" s="110"/>
      <c r="BR100" s="110"/>
      <c r="BS100" s="110"/>
      <c r="BT100" s="110" t="e">
        <f>MATCH(BV100,MeasureCost!$B$82:$B$96,0)</f>
        <v>#N/A</v>
      </c>
      <c r="BU100" s="110" t="e">
        <f>MATCH(BW100,MeasureCost!$B$82:$B$98,0)</f>
        <v>#N/A</v>
      </c>
      <c r="BV100" s="100" t="s">
        <v>434</v>
      </c>
      <c r="BW100" s="100" t="s">
        <v>403</v>
      </c>
    </row>
    <row r="101" spans="1:75">
      <c r="A101" s="112">
        <v>908</v>
      </c>
      <c r="B101" s="112" t="s">
        <v>774</v>
      </c>
      <c r="C101" s="112" t="s">
        <v>443</v>
      </c>
      <c r="D101" s="112" t="s">
        <v>534</v>
      </c>
      <c r="E101" s="112" t="s">
        <v>764</v>
      </c>
      <c r="F101" s="114">
        <v>42139</v>
      </c>
      <c r="G101" s="112" t="s">
        <v>774</v>
      </c>
      <c r="H101" s="112" t="s">
        <v>545</v>
      </c>
      <c r="I101" s="112" t="s">
        <v>404</v>
      </c>
      <c r="J101" s="112" t="s">
        <v>618</v>
      </c>
      <c r="K101" s="112">
        <v>0</v>
      </c>
      <c r="L101" s="112">
        <v>0</v>
      </c>
      <c r="M101" s="112" t="s">
        <v>618</v>
      </c>
      <c r="N101" s="110"/>
      <c r="O101" s="112" t="b">
        <v>0</v>
      </c>
      <c r="P101" s="110"/>
      <c r="Q101" s="112" t="b">
        <v>0</v>
      </c>
      <c r="R101" s="112" t="s">
        <v>116</v>
      </c>
      <c r="S101" s="112" t="s">
        <v>531</v>
      </c>
      <c r="T101" s="112" t="s">
        <v>537</v>
      </c>
      <c r="U101" s="112" t="s">
        <v>550</v>
      </c>
      <c r="V101" s="112" t="s">
        <v>558</v>
      </c>
      <c r="W101" s="112" t="s">
        <v>559</v>
      </c>
      <c r="X101" s="100"/>
      <c r="Y101" s="100"/>
      <c r="Z101" s="112" t="s">
        <v>765</v>
      </c>
      <c r="AA101" s="112" t="s">
        <v>766</v>
      </c>
      <c r="AB101" s="112" t="s">
        <v>409</v>
      </c>
      <c r="AC101" s="112" t="s">
        <v>443</v>
      </c>
      <c r="AD101" s="110"/>
      <c r="AE101" s="112"/>
      <c r="AF101" s="110"/>
      <c r="AG101" s="112" t="s">
        <v>544</v>
      </c>
      <c r="AH101" s="110"/>
      <c r="AI101" s="112" t="b">
        <v>0</v>
      </c>
      <c r="AJ101" s="112" t="b">
        <v>0</v>
      </c>
      <c r="AK101" s="110"/>
      <c r="AL101" s="112" t="s">
        <v>622</v>
      </c>
      <c r="AM101" s="112" t="s">
        <v>765</v>
      </c>
      <c r="AN101" s="110"/>
      <c r="AO101" s="112" t="s">
        <v>618</v>
      </c>
      <c r="AP101" s="114">
        <v>42370</v>
      </c>
      <c r="AQ101" s="110"/>
      <c r="AR101" s="112" t="s">
        <v>767</v>
      </c>
      <c r="AS101" s="110"/>
      <c r="AT101" s="110"/>
      <c r="AU101" s="110"/>
      <c r="AV101" s="110"/>
      <c r="AW101" s="112" t="s">
        <v>404</v>
      </c>
      <c r="AX101" s="110"/>
      <c r="AY101" s="138"/>
      <c r="AZ101" s="138"/>
      <c r="BA101" s="138"/>
      <c r="BC101" s="97"/>
      <c r="BD101" s="97"/>
      <c r="BE101" s="97"/>
      <c r="BF101" s="97"/>
      <c r="BG101" s="97"/>
      <c r="BH101" s="97"/>
      <c r="BI101" s="82"/>
      <c r="BJ101" s="110"/>
      <c r="BK101" s="110"/>
      <c r="BL101" s="110"/>
      <c r="BM101" s="110"/>
      <c r="BN101" s="110"/>
      <c r="BO101" s="110"/>
      <c r="BP101" s="110"/>
      <c r="BQ101" s="110"/>
      <c r="BR101" s="110"/>
      <c r="BS101" s="110"/>
      <c r="BT101" s="110" t="e">
        <f>MATCH(BV101,MeasureCost!$B$82:$B$96,0)</f>
        <v>#N/A</v>
      </c>
      <c r="BU101" s="110" t="e">
        <f>MATCH(BW101,MeasureCost!$B$82:$B$98,0)</f>
        <v>#N/A</v>
      </c>
      <c r="BV101" s="100" t="s">
        <v>442</v>
      </c>
      <c r="BW101" s="100" t="s">
        <v>403</v>
      </c>
    </row>
    <row r="102" spans="1:75">
      <c r="A102" s="112">
        <v>909</v>
      </c>
      <c r="B102" s="112" t="s">
        <v>775</v>
      </c>
      <c r="C102" s="112" t="s">
        <v>445</v>
      </c>
      <c r="D102" s="112" t="s">
        <v>534</v>
      </c>
      <c r="E102" s="112" t="s">
        <v>764</v>
      </c>
      <c r="F102" s="114">
        <v>42139</v>
      </c>
      <c r="G102" s="112" t="s">
        <v>775</v>
      </c>
      <c r="H102" s="112" t="s">
        <v>545</v>
      </c>
      <c r="I102" s="112" t="s">
        <v>404</v>
      </c>
      <c r="J102" s="112" t="s">
        <v>618</v>
      </c>
      <c r="K102" s="112">
        <v>0</v>
      </c>
      <c r="L102" s="112">
        <v>0</v>
      </c>
      <c r="M102" s="112" t="s">
        <v>618</v>
      </c>
      <c r="N102" s="110"/>
      <c r="O102" s="112" t="b">
        <v>0</v>
      </c>
      <c r="P102" s="110"/>
      <c r="Q102" s="112" t="b">
        <v>0</v>
      </c>
      <c r="R102" s="112" t="s">
        <v>116</v>
      </c>
      <c r="S102" s="112" t="s">
        <v>531</v>
      </c>
      <c r="T102" s="112" t="s">
        <v>537</v>
      </c>
      <c r="U102" s="112" t="s">
        <v>550</v>
      </c>
      <c r="V102" s="112" t="s">
        <v>558</v>
      </c>
      <c r="W102" s="112" t="s">
        <v>559</v>
      </c>
      <c r="X102" s="100"/>
      <c r="Y102" s="100"/>
      <c r="Z102" s="112" t="s">
        <v>765</v>
      </c>
      <c r="AA102" s="112" t="s">
        <v>766</v>
      </c>
      <c r="AB102" s="112" t="s">
        <v>409</v>
      </c>
      <c r="AC102" s="112" t="s">
        <v>445</v>
      </c>
      <c r="AD102" s="110"/>
      <c r="AE102" s="112"/>
      <c r="AF102" s="110"/>
      <c r="AG102" s="112" t="s">
        <v>544</v>
      </c>
      <c r="AH102" s="110"/>
      <c r="AI102" s="112" t="b">
        <v>0</v>
      </c>
      <c r="AJ102" s="112" t="b">
        <v>0</v>
      </c>
      <c r="AK102" s="110"/>
      <c r="AL102" s="112" t="s">
        <v>622</v>
      </c>
      <c r="AM102" s="112" t="s">
        <v>765</v>
      </c>
      <c r="AN102" s="110"/>
      <c r="AO102" s="112" t="s">
        <v>618</v>
      </c>
      <c r="AP102" s="114">
        <v>42370</v>
      </c>
      <c r="AQ102" s="110"/>
      <c r="AR102" s="112" t="s">
        <v>767</v>
      </c>
      <c r="AS102" s="110"/>
      <c r="AT102" s="110"/>
      <c r="AU102" s="110"/>
      <c r="AV102" s="110"/>
      <c r="AW102" s="112" t="s">
        <v>404</v>
      </c>
      <c r="AX102" s="110"/>
      <c r="AY102" s="138"/>
      <c r="AZ102" s="138"/>
      <c r="BA102" s="138"/>
      <c r="BC102" s="97"/>
      <c r="BD102" s="97"/>
      <c r="BE102" s="97"/>
      <c r="BF102" s="97"/>
      <c r="BG102" s="97"/>
      <c r="BH102" s="97"/>
      <c r="BI102" s="82"/>
      <c r="BJ102" s="110"/>
      <c r="BK102" s="110"/>
      <c r="BL102" s="110"/>
      <c r="BM102" s="110"/>
      <c r="BN102" s="110"/>
      <c r="BO102" s="110"/>
      <c r="BP102" s="110"/>
      <c r="BQ102" s="110"/>
      <c r="BR102" s="110"/>
      <c r="BS102" s="110"/>
      <c r="BT102" s="110" t="e">
        <f>MATCH(BV102,MeasureCost!$B$82:$B$96,0)</f>
        <v>#N/A</v>
      </c>
      <c r="BU102" s="110" t="e">
        <f>MATCH(BW102,MeasureCost!$B$82:$B$98,0)</f>
        <v>#N/A</v>
      </c>
      <c r="BV102" s="100" t="s">
        <v>442</v>
      </c>
      <c r="BW102" s="100" t="s">
        <v>403</v>
      </c>
    </row>
    <row r="103" spans="1:75">
      <c r="A103" s="112">
        <v>910</v>
      </c>
      <c r="B103" s="112" t="s">
        <v>776</v>
      </c>
      <c r="C103" s="112" t="s">
        <v>447</v>
      </c>
      <c r="D103" s="112" t="s">
        <v>534</v>
      </c>
      <c r="E103" s="112" t="s">
        <v>764</v>
      </c>
      <c r="F103" s="114">
        <v>42139</v>
      </c>
      <c r="G103" s="112" t="s">
        <v>776</v>
      </c>
      <c r="H103" s="112" t="s">
        <v>545</v>
      </c>
      <c r="I103" s="112" t="s">
        <v>404</v>
      </c>
      <c r="J103" s="112" t="s">
        <v>618</v>
      </c>
      <c r="K103" s="112">
        <v>0</v>
      </c>
      <c r="L103" s="112">
        <v>0</v>
      </c>
      <c r="M103" s="112" t="s">
        <v>618</v>
      </c>
      <c r="N103" s="110"/>
      <c r="O103" s="112" t="b">
        <v>0</v>
      </c>
      <c r="P103" s="110"/>
      <c r="Q103" s="112" t="b">
        <v>0</v>
      </c>
      <c r="R103" s="112" t="s">
        <v>116</v>
      </c>
      <c r="S103" s="112" t="s">
        <v>531</v>
      </c>
      <c r="T103" s="112" t="s">
        <v>537</v>
      </c>
      <c r="U103" s="112" t="s">
        <v>550</v>
      </c>
      <c r="V103" s="112" t="s">
        <v>558</v>
      </c>
      <c r="W103" s="112" t="s">
        <v>559</v>
      </c>
      <c r="X103" s="100"/>
      <c r="Y103" s="100"/>
      <c r="Z103" s="112" t="s">
        <v>765</v>
      </c>
      <c r="AA103" s="112" t="s">
        <v>766</v>
      </c>
      <c r="AB103" s="112" t="s">
        <v>409</v>
      </c>
      <c r="AC103" s="112" t="s">
        <v>447</v>
      </c>
      <c r="AD103" s="110"/>
      <c r="AE103" s="112"/>
      <c r="AF103" s="110"/>
      <c r="AG103" s="112" t="s">
        <v>544</v>
      </c>
      <c r="AH103" s="110"/>
      <c r="AI103" s="112" t="b">
        <v>0</v>
      </c>
      <c r="AJ103" s="112" t="b">
        <v>0</v>
      </c>
      <c r="AK103" s="110"/>
      <c r="AL103" s="112" t="s">
        <v>622</v>
      </c>
      <c r="AM103" s="112" t="s">
        <v>765</v>
      </c>
      <c r="AN103" s="110"/>
      <c r="AO103" s="112" t="s">
        <v>618</v>
      </c>
      <c r="AP103" s="114">
        <v>42370</v>
      </c>
      <c r="AQ103" s="110"/>
      <c r="AR103" s="112" t="s">
        <v>767</v>
      </c>
      <c r="AS103" s="110"/>
      <c r="AT103" s="110"/>
      <c r="AU103" s="110"/>
      <c r="AV103" s="110"/>
      <c r="AW103" s="112" t="s">
        <v>404</v>
      </c>
      <c r="AX103" s="110"/>
      <c r="AY103" s="138"/>
      <c r="AZ103" s="138"/>
      <c r="BA103" s="138"/>
      <c r="BC103" s="97"/>
      <c r="BD103" s="97"/>
      <c r="BE103" s="97"/>
      <c r="BF103" s="97"/>
      <c r="BG103" s="97"/>
      <c r="BH103" s="97"/>
      <c r="BI103" s="82"/>
      <c r="BJ103" s="110"/>
      <c r="BK103" s="110"/>
      <c r="BL103" s="110"/>
      <c r="BM103" s="110"/>
      <c r="BN103" s="110"/>
      <c r="BO103" s="110"/>
      <c r="BP103" s="110"/>
      <c r="BQ103" s="110"/>
      <c r="BR103" s="110"/>
      <c r="BS103" s="110"/>
      <c r="BT103" s="110" t="e">
        <f>MATCH(BV103,MeasureCost!$B$82:$B$96,0)</f>
        <v>#N/A</v>
      </c>
      <c r="BU103" s="110" t="e">
        <f>MATCH(BW103,MeasureCost!$B$82:$B$98,0)</f>
        <v>#N/A</v>
      </c>
      <c r="BV103" s="100" t="s">
        <v>442</v>
      </c>
      <c r="BW103" s="100" t="s">
        <v>403</v>
      </c>
    </row>
    <row r="104" spans="1:75">
      <c r="A104" s="112">
        <v>911</v>
      </c>
      <c r="B104" s="112" t="s">
        <v>777</v>
      </c>
      <c r="C104" s="112" t="s">
        <v>449</v>
      </c>
      <c r="D104" s="112" t="s">
        <v>534</v>
      </c>
      <c r="E104" s="112" t="s">
        <v>764</v>
      </c>
      <c r="F104" s="114">
        <v>42139</v>
      </c>
      <c r="G104" s="112" t="s">
        <v>777</v>
      </c>
      <c r="H104" s="112" t="s">
        <v>545</v>
      </c>
      <c r="I104" s="112" t="s">
        <v>404</v>
      </c>
      <c r="J104" s="112" t="s">
        <v>618</v>
      </c>
      <c r="K104" s="112">
        <v>0</v>
      </c>
      <c r="L104" s="112">
        <v>0</v>
      </c>
      <c r="M104" s="112" t="s">
        <v>618</v>
      </c>
      <c r="N104" s="110"/>
      <c r="O104" s="112" t="b">
        <v>0</v>
      </c>
      <c r="P104" s="110"/>
      <c r="Q104" s="112" t="b">
        <v>0</v>
      </c>
      <c r="R104" s="112" t="s">
        <v>116</v>
      </c>
      <c r="S104" s="112" t="s">
        <v>531</v>
      </c>
      <c r="T104" s="112" t="s">
        <v>537</v>
      </c>
      <c r="U104" s="112" t="s">
        <v>550</v>
      </c>
      <c r="V104" s="112" t="s">
        <v>558</v>
      </c>
      <c r="W104" s="112" t="s">
        <v>552</v>
      </c>
      <c r="X104" s="100" t="s">
        <v>448</v>
      </c>
      <c r="Y104" s="100"/>
      <c r="Z104" s="112" t="s">
        <v>765</v>
      </c>
      <c r="AA104" s="112" t="s">
        <v>778</v>
      </c>
      <c r="AB104" s="112" t="s">
        <v>412</v>
      </c>
      <c r="AC104" s="112" t="s">
        <v>449</v>
      </c>
      <c r="AD104" s="110"/>
      <c r="AE104" s="112"/>
      <c r="AF104" s="110"/>
      <c r="AG104" s="112" t="s">
        <v>544</v>
      </c>
      <c r="AH104" s="110"/>
      <c r="AI104" s="112" t="b">
        <v>0</v>
      </c>
      <c r="AJ104" s="112" t="b">
        <v>0</v>
      </c>
      <c r="AK104" s="110"/>
      <c r="AL104" s="112" t="s">
        <v>622</v>
      </c>
      <c r="AM104" s="112" t="s">
        <v>765</v>
      </c>
      <c r="AN104" s="110"/>
      <c r="AO104" s="112" t="s">
        <v>618</v>
      </c>
      <c r="AP104" s="114">
        <v>42370</v>
      </c>
      <c r="AQ104" s="110"/>
      <c r="AR104" s="112" t="s">
        <v>767</v>
      </c>
      <c r="AS104" s="110"/>
      <c r="AT104" s="110"/>
      <c r="AU104" s="110"/>
      <c r="AV104" s="110"/>
      <c r="AW104" s="112" t="s">
        <v>404</v>
      </c>
      <c r="AX104" s="110"/>
      <c r="AY104" s="138">
        <f>VLOOKUP(X104,MeasureCost!$B$6:$Z$97,24,FALSE)</f>
        <v>300</v>
      </c>
      <c r="AZ104" s="138">
        <f>VLOOKUP(X104,MeasureCost!$B$6:$Z$97,25,FALSE)</f>
        <v>4000</v>
      </c>
      <c r="BA104" s="138">
        <v>2000</v>
      </c>
      <c r="BC104" s="97">
        <f>VLOOKUP(X104,MeasureCost!$B$6:$W$97,22,FALSE)</f>
        <v>-422</v>
      </c>
      <c r="BD104" s="97">
        <f>VLOOKUP(X104,MeasureCost!$B$6:$W$97,20,FALSE)</f>
        <v>17.600000000000001</v>
      </c>
      <c r="BE104" s="97">
        <f t="shared" si="8"/>
        <v>34778</v>
      </c>
      <c r="BF104" s="97"/>
      <c r="BG104" s="97"/>
      <c r="BH104" s="97"/>
      <c r="BI104" s="82"/>
      <c r="BJ104" s="110"/>
      <c r="BK104" s="110" t="str">
        <f t="shared" si="9"/>
        <v>NG-HVAC-Blr-HW-300to2500kBtuh-83p0Et-Drft</v>
      </c>
      <c r="BL104" s="110"/>
      <c r="BM104" s="110"/>
      <c r="BN104" s="110"/>
      <c r="BO104" s="110"/>
      <c r="BP104" s="110"/>
      <c r="BQ104" s="110"/>
      <c r="BR104" s="110"/>
      <c r="BS104" s="110"/>
      <c r="BT104" s="110">
        <f>MATCH(BV104,MeasureCost!$B$82:$B$96,0)</f>
        <v>9</v>
      </c>
      <c r="BU104" s="110" t="e">
        <f>MATCH(BW104,MeasureCost!$B$82:$B$98,0)</f>
        <v>#N/A</v>
      </c>
      <c r="BV104" s="100" t="s">
        <v>448</v>
      </c>
      <c r="BW104" s="100" t="s">
        <v>410</v>
      </c>
    </row>
    <row r="105" spans="1:75">
      <c r="A105" s="112">
        <v>912</v>
      </c>
      <c r="B105" s="112" t="s">
        <v>779</v>
      </c>
      <c r="C105" s="112" t="s">
        <v>451</v>
      </c>
      <c r="D105" s="112" t="s">
        <v>534</v>
      </c>
      <c r="E105" s="112" t="s">
        <v>764</v>
      </c>
      <c r="F105" s="114">
        <v>42139</v>
      </c>
      <c r="G105" s="112" t="s">
        <v>779</v>
      </c>
      <c r="H105" s="112" t="s">
        <v>545</v>
      </c>
      <c r="I105" s="112" t="s">
        <v>404</v>
      </c>
      <c r="J105" s="112" t="s">
        <v>618</v>
      </c>
      <c r="K105" s="112">
        <v>0</v>
      </c>
      <c r="L105" s="112">
        <v>0</v>
      </c>
      <c r="M105" s="112" t="s">
        <v>618</v>
      </c>
      <c r="N105" s="110"/>
      <c r="O105" s="112" t="b">
        <v>0</v>
      </c>
      <c r="P105" s="110"/>
      <c r="Q105" s="112" t="b">
        <v>0</v>
      </c>
      <c r="R105" s="112" t="s">
        <v>116</v>
      </c>
      <c r="S105" s="112" t="s">
        <v>531</v>
      </c>
      <c r="T105" s="112" t="s">
        <v>537</v>
      </c>
      <c r="U105" s="112" t="s">
        <v>550</v>
      </c>
      <c r="V105" s="112" t="s">
        <v>558</v>
      </c>
      <c r="W105" s="112" t="s">
        <v>552</v>
      </c>
      <c r="X105" s="100" t="s">
        <v>450</v>
      </c>
      <c r="Y105" s="100"/>
      <c r="Z105" s="112" t="s">
        <v>765</v>
      </c>
      <c r="AA105" s="112" t="s">
        <v>778</v>
      </c>
      <c r="AB105" s="112" t="s">
        <v>412</v>
      </c>
      <c r="AC105" s="112" t="s">
        <v>451</v>
      </c>
      <c r="AD105" s="110"/>
      <c r="AE105" s="112"/>
      <c r="AF105" s="110"/>
      <c r="AG105" s="112" t="s">
        <v>544</v>
      </c>
      <c r="AH105" s="110"/>
      <c r="AI105" s="112" t="b">
        <v>0</v>
      </c>
      <c r="AJ105" s="112" t="b">
        <v>0</v>
      </c>
      <c r="AK105" s="110"/>
      <c r="AL105" s="112" t="s">
        <v>622</v>
      </c>
      <c r="AM105" s="112" t="s">
        <v>765</v>
      </c>
      <c r="AN105" s="110"/>
      <c r="AO105" s="112" t="s">
        <v>618</v>
      </c>
      <c r="AP105" s="114">
        <v>42370</v>
      </c>
      <c r="AQ105" s="110"/>
      <c r="AR105" s="112" t="s">
        <v>767</v>
      </c>
      <c r="AS105" s="110"/>
      <c r="AT105" s="110"/>
      <c r="AU105" s="110"/>
      <c r="AV105" s="110"/>
      <c r="AW105" s="112" t="s">
        <v>404</v>
      </c>
      <c r="AX105" s="110"/>
      <c r="AY105" s="138">
        <f>VLOOKUP(X105,MeasureCost!$B$6:$Z$97,24,FALSE)</f>
        <v>300</v>
      </c>
      <c r="AZ105" s="138">
        <f>VLOOKUP(X105,MeasureCost!$B$6:$Z$97,25,FALSE)</f>
        <v>4000</v>
      </c>
      <c r="BA105" s="138">
        <v>2000</v>
      </c>
      <c r="BC105" s="97">
        <f>VLOOKUP(X105,MeasureCost!$B$6:$W$97,22,FALSE)</f>
        <v>12721</v>
      </c>
      <c r="BD105" s="97">
        <f>VLOOKUP(X105,MeasureCost!$B$6:$W$97,20,FALSE)</f>
        <v>17.600000000000001</v>
      </c>
      <c r="BE105" s="97">
        <f t="shared" si="8"/>
        <v>47921</v>
      </c>
      <c r="BF105" s="97"/>
      <c r="BG105" s="97"/>
      <c r="BH105" s="97"/>
      <c r="BI105" s="82"/>
      <c r="BJ105" s="110"/>
      <c r="BK105" s="110" t="str">
        <f t="shared" si="9"/>
        <v>NG-HVAC-Blr-HW-300to2500kBtuh-85p0Et-Drft</v>
      </c>
      <c r="BL105" s="110"/>
      <c r="BM105" s="110"/>
      <c r="BN105" s="110"/>
      <c r="BO105" s="110"/>
      <c r="BP105" s="110"/>
      <c r="BQ105" s="110"/>
      <c r="BR105" s="110"/>
      <c r="BS105" s="110"/>
      <c r="BT105" s="110">
        <f>MATCH(BV105,MeasureCost!$B$82:$B$96,0)</f>
        <v>10</v>
      </c>
      <c r="BU105" s="110" t="e">
        <f>MATCH(BW105,MeasureCost!$B$82:$B$98,0)</f>
        <v>#N/A</v>
      </c>
      <c r="BV105" s="100" t="s">
        <v>450</v>
      </c>
      <c r="BW105" s="100" t="s">
        <v>410</v>
      </c>
    </row>
    <row r="106" spans="1:75">
      <c r="A106" s="112">
        <v>913</v>
      </c>
      <c r="B106" s="112" t="s">
        <v>780</v>
      </c>
      <c r="C106" s="112" t="s">
        <v>454</v>
      </c>
      <c r="D106" s="112" t="s">
        <v>534</v>
      </c>
      <c r="E106" s="112" t="s">
        <v>764</v>
      </c>
      <c r="F106" s="114">
        <v>42139</v>
      </c>
      <c r="G106" s="112" t="s">
        <v>780</v>
      </c>
      <c r="H106" s="112" t="s">
        <v>545</v>
      </c>
      <c r="I106" s="112" t="s">
        <v>404</v>
      </c>
      <c r="J106" s="112" t="s">
        <v>618</v>
      </c>
      <c r="K106" s="112">
        <v>0</v>
      </c>
      <c r="L106" s="112">
        <v>0</v>
      </c>
      <c r="M106" s="112" t="s">
        <v>618</v>
      </c>
      <c r="N106" s="110"/>
      <c r="O106" s="112" t="b">
        <v>0</v>
      </c>
      <c r="P106" s="110"/>
      <c r="Q106" s="112" t="b">
        <v>0</v>
      </c>
      <c r="R106" s="112" t="s">
        <v>116</v>
      </c>
      <c r="S106" s="112" t="s">
        <v>531</v>
      </c>
      <c r="T106" s="112" t="s">
        <v>537</v>
      </c>
      <c r="U106" s="112" t="s">
        <v>550</v>
      </c>
      <c r="V106" s="112" t="s">
        <v>558</v>
      </c>
      <c r="W106" s="112" t="s">
        <v>552</v>
      </c>
      <c r="X106" s="100" t="s">
        <v>453</v>
      </c>
      <c r="Y106" s="100"/>
      <c r="Z106" s="112" t="s">
        <v>765</v>
      </c>
      <c r="AA106" s="112" t="s">
        <v>778</v>
      </c>
      <c r="AB106" s="112" t="s">
        <v>412</v>
      </c>
      <c r="AC106" s="112" t="s">
        <v>454</v>
      </c>
      <c r="AD106" s="110"/>
      <c r="AE106" s="112"/>
      <c r="AF106" s="110"/>
      <c r="AG106" s="112" t="s">
        <v>544</v>
      </c>
      <c r="AH106" s="110"/>
      <c r="AI106" s="112" t="b">
        <v>0</v>
      </c>
      <c r="AJ106" s="112" t="b">
        <v>0</v>
      </c>
      <c r="AK106" s="110"/>
      <c r="AL106" s="112" t="s">
        <v>622</v>
      </c>
      <c r="AM106" s="112" t="s">
        <v>765</v>
      </c>
      <c r="AN106" s="110"/>
      <c r="AO106" s="112" t="s">
        <v>618</v>
      </c>
      <c r="AP106" s="114">
        <v>42370</v>
      </c>
      <c r="AQ106" s="110"/>
      <c r="AR106" s="112" t="s">
        <v>767</v>
      </c>
      <c r="AS106" s="110"/>
      <c r="AT106" s="110"/>
      <c r="AU106" s="110"/>
      <c r="AV106" s="110"/>
      <c r="AW106" s="112" t="s">
        <v>404</v>
      </c>
      <c r="AX106" s="110"/>
      <c r="AY106" s="138">
        <f>VLOOKUP(X106,MeasureCost!$B$6:$Z$97,24,FALSE)</f>
        <v>300</v>
      </c>
      <c r="AZ106" s="138">
        <f>VLOOKUP(X106,MeasureCost!$B$6:$Z$97,25,FALSE)</f>
        <v>4000</v>
      </c>
      <c r="BA106" s="138">
        <v>2000</v>
      </c>
      <c r="BC106" s="97">
        <f>VLOOKUP(X106,MeasureCost!$B$6:$W$97,22,FALSE)</f>
        <v>-598</v>
      </c>
      <c r="BD106" s="97">
        <f>VLOOKUP(X106,MeasureCost!$B$6:$W$97,20,FALSE)</f>
        <v>12.83</v>
      </c>
      <c r="BE106" s="97">
        <f t="shared" si="8"/>
        <v>25062</v>
      </c>
      <c r="BF106" s="97"/>
      <c r="BG106" s="97"/>
      <c r="BH106" s="97"/>
      <c r="BI106" s="82"/>
      <c r="BJ106" s="110"/>
      <c r="BK106" s="110" t="str">
        <f t="shared" si="9"/>
        <v>NG-HVAC-Blr-HW-300to2500kBtuh-90p0Et-CndStd</v>
      </c>
      <c r="BL106" s="110"/>
      <c r="BM106" s="110"/>
      <c r="BN106" s="110"/>
      <c r="BO106" s="110"/>
      <c r="BP106" s="110"/>
      <c r="BQ106" s="110"/>
      <c r="BR106" s="110"/>
      <c r="BS106" s="110"/>
      <c r="BT106" s="110">
        <f>MATCH(BV106,MeasureCost!$B$82:$B$96,0)</f>
        <v>12</v>
      </c>
      <c r="BU106" s="110" t="e">
        <f>MATCH(BW106,MeasureCost!$B$82:$B$98,0)</f>
        <v>#N/A</v>
      </c>
      <c r="BV106" s="100" t="s">
        <v>453</v>
      </c>
      <c r="BW106" s="100" t="s">
        <v>410</v>
      </c>
    </row>
    <row r="107" spans="1:75">
      <c r="A107" s="112">
        <v>914</v>
      </c>
      <c r="B107" s="112" t="s">
        <v>781</v>
      </c>
      <c r="C107" s="112" t="s">
        <v>456</v>
      </c>
      <c r="D107" s="112" t="s">
        <v>534</v>
      </c>
      <c r="E107" s="112" t="s">
        <v>764</v>
      </c>
      <c r="F107" s="114">
        <v>42139</v>
      </c>
      <c r="G107" s="112" t="s">
        <v>781</v>
      </c>
      <c r="H107" s="112" t="s">
        <v>545</v>
      </c>
      <c r="I107" s="112" t="s">
        <v>404</v>
      </c>
      <c r="J107" s="112" t="s">
        <v>618</v>
      </c>
      <c r="K107" s="112">
        <v>0</v>
      </c>
      <c r="L107" s="112">
        <v>0</v>
      </c>
      <c r="M107" s="112" t="s">
        <v>618</v>
      </c>
      <c r="N107" s="110"/>
      <c r="O107" s="112" t="b">
        <v>0</v>
      </c>
      <c r="P107" s="110"/>
      <c r="Q107" s="112" t="b">
        <v>0</v>
      </c>
      <c r="R107" s="112" t="s">
        <v>116</v>
      </c>
      <c r="S107" s="112" t="s">
        <v>531</v>
      </c>
      <c r="T107" s="112" t="s">
        <v>537</v>
      </c>
      <c r="U107" s="112" t="s">
        <v>550</v>
      </c>
      <c r="V107" s="112" t="s">
        <v>558</v>
      </c>
      <c r="W107" s="112" t="s">
        <v>552</v>
      </c>
      <c r="X107" s="100" t="s">
        <v>453</v>
      </c>
      <c r="Y107" s="100"/>
      <c r="Z107" s="112" t="s">
        <v>765</v>
      </c>
      <c r="AA107" s="112" t="s">
        <v>778</v>
      </c>
      <c r="AB107" s="112" t="s">
        <v>412</v>
      </c>
      <c r="AC107" s="112" t="s">
        <v>456</v>
      </c>
      <c r="AD107" s="110"/>
      <c r="AE107" s="112"/>
      <c r="AF107" s="110"/>
      <c r="AG107" s="112" t="s">
        <v>544</v>
      </c>
      <c r="AH107" s="110"/>
      <c r="AI107" s="112" t="b">
        <v>0</v>
      </c>
      <c r="AJ107" s="112" t="b">
        <v>0</v>
      </c>
      <c r="AK107" s="110"/>
      <c r="AL107" s="112" t="s">
        <v>622</v>
      </c>
      <c r="AM107" s="112" t="s">
        <v>765</v>
      </c>
      <c r="AN107" s="110"/>
      <c r="AO107" s="112" t="s">
        <v>618</v>
      </c>
      <c r="AP107" s="114">
        <v>42370</v>
      </c>
      <c r="AQ107" s="110"/>
      <c r="AR107" s="112" t="s">
        <v>767</v>
      </c>
      <c r="AS107" s="110"/>
      <c r="AT107" s="110"/>
      <c r="AU107" s="110"/>
      <c r="AV107" s="110"/>
      <c r="AW107" s="112" t="s">
        <v>404</v>
      </c>
      <c r="AX107" s="110"/>
      <c r="AY107" s="138">
        <f>VLOOKUP(X107,MeasureCost!$B$6:$Z$97,24,FALSE)</f>
        <v>300</v>
      </c>
      <c r="AZ107" s="138">
        <f>VLOOKUP(X107,MeasureCost!$B$6:$Z$97,25,FALSE)</f>
        <v>4000</v>
      </c>
      <c r="BA107" s="138">
        <v>2000</v>
      </c>
      <c r="BC107" s="97">
        <f>VLOOKUP(X107,MeasureCost!$B$6:$W$97,22,FALSE)</f>
        <v>-598</v>
      </c>
      <c r="BD107" s="97">
        <f>VLOOKUP(X107,MeasureCost!$B$6:$W$97,20,FALSE)</f>
        <v>12.83</v>
      </c>
      <c r="BE107" s="97">
        <f t="shared" si="8"/>
        <v>25062</v>
      </c>
      <c r="BF107" s="97"/>
      <c r="BG107" s="97"/>
      <c r="BH107" s="97"/>
      <c r="BI107" s="82"/>
      <c r="BJ107" s="110"/>
      <c r="BK107" s="110" t="str">
        <f t="shared" si="9"/>
        <v>NG-HVAC-Blr-HW-300to2500kBtuh-90p0Et-CndLow</v>
      </c>
      <c r="BL107" s="110"/>
      <c r="BM107" s="110"/>
      <c r="BN107" s="110"/>
      <c r="BO107" s="110"/>
      <c r="BP107" s="110"/>
      <c r="BQ107" s="110"/>
      <c r="BR107" s="110"/>
      <c r="BS107" s="110"/>
      <c r="BT107" s="110">
        <f>MATCH(BV107,MeasureCost!$B$82:$B$96,0)</f>
        <v>12</v>
      </c>
      <c r="BU107" s="110" t="e">
        <f>MATCH(BW107,MeasureCost!$B$82:$B$98,0)</f>
        <v>#N/A</v>
      </c>
      <c r="BV107" s="100" t="s">
        <v>453</v>
      </c>
      <c r="BW107" s="100" t="s">
        <v>410</v>
      </c>
    </row>
    <row r="108" spans="1:75">
      <c r="A108" s="112">
        <v>915</v>
      </c>
      <c r="B108" s="112" t="s">
        <v>782</v>
      </c>
      <c r="C108" s="112" t="s">
        <v>458</v>
      </c>
      <c r="D108" s="112" t="s">
        <v>534</v>
      </c>
      <c r="E108" s="112" t="s">
        <v>764</v>
      </c>
      <c r="F108" s="114">
        <v>42139</v>
      </c>
      <c r="G108" s="112" t="s">
        <v>782</v>
      </c>
      <c r="H108" s="112" t="s">
        <v>545</v>
      </c>
      <c r="I108" s="112" t="s">
        <v>404</v>
      </c>
      <c r="J108" s="112" t="s">
        <v>618</v>
      </c>
      <c r="K108" s="112">
        <v>0</v>
      </c>
      <c r="L108" s="112">
        <v>0</v>
      </c>
      <c r="M108" s="112" t="s">
        <v>618</v>
      </c>
      <c r="N108" s="110"/>
      <c r="O108" s="112" t="b">
        <v>0</v>
      </c>
      <c r="P108" s="110"/>
      <c r="Q108" s="112" t="b">
        <v>0</v>
      </c>
      <c r="R108" s="112" t="s">
        <v>116</v>
      </c>
      <c r="S108" s="112" t="s">
        <v>531</v>
      </c>
      <c r="T108" s="112" t="s">
        <v>537</v>
      </c>
      <c r="U108" s="112" t="s">
        <v>550</v>
      </c>
      <c r="V108" s="112" t="s">
        <v>558</v>
      </c>
      <c r="W108" s="112" t="s">
        <v>552</v>
      </c>
      <c r="X108" s="100" t="s">
        <v>453</v>
      </c>
      <c r="Y108" s="100"/>
      <c r="Z108" s="112" t="s">
        <v>765</v>
      </c>
      <c r="AA108" s="112" t="s">
        <v>778</v>
      </c>
      <c r="AB108" s="112" t="s">
        <v>412</v>
      </c>
      <c r="AC108" s="112" t="s">
        <v>458</v>
      </c>
      <c r="AD108" s="110"/>
      <c r="AE108" s="112"/>
      <c r="AF108" s="110"/>
      <c r="AG108" s="112" t="s">
        <v>544</v>
      </c>
      <c r="AH108" s="110"/>
      <c r="AI108" s="112" t="b">
        <v>0</v>
      </c>
      <c r="AJ108" s="112" t="b">
        <v>0</v>
      </c>
      <c r="AK108" s="110"/>
      <c r="AL108" s="112" t="s">
        <v>622</v>
      </c>
      <c r="AM108" s="112" t="s">
        <v>765</v>
      </c>
      <c r="AN108" s="110"/>
      <c r="AO108" s="112" t="s">
        <v>618</v>
      </c>
      <c r="AP108" s="114">
        <v>42370</v>
      </c>
      <c r="AQ108" s="110"/>
      <c r="AR108" s="112" t="s">
        <v>767</v>
      </c>
      <c r="AS108" s="110"/>
      <c r="AT108" s="110"/>
      <c r="AU108" s="110"/>
      <c r="AV108" s="110"/>
      <c r="AW108" s="112" t="s">
        <v>404</v>
      </c>
      <c r="AX108" s="110"/>
      <c r="AY108" s="138">
        <f>VLOOKUP(X108,MeasureCost!$B$6:$Z$97,24,FALSE)</f>
        <v>300</v>
      </c>
      <c r="AZ108" s="138">
        <f>VLOOKUP(X108,MeasureCost!$B$6:$Z$97,25,FALSE)</f>
        <v>4000</v>
      </c>
      <c r="BA108" s="138">
        <v>2000</v>
      </c>
      <c r="BC108" s="97">
        <f>VLOOKUP(X108,MeasureCost!$B$6:$W$97,22,FALSE)</f>
        <v>-598</v>
      </c>
      <c r="BD108" s="97">
        <f>VLOOKUP(X108,MeasureCost!$B$6:$W$97,20,FALSE)</f>
        <v>12.83</v>
      </c>
      <c r="BE108" s="97">
        <f t="shared" si="8"/>
        <v>25062</v>
      </c>
      <c r="BF108" s="97"/>
      <c r="BG108" s="97"/>
      <c r="BH108" s="97"/>
      <c r="BI108" s="82"/>
      <c r="BJ108" s="110"/>
      <c r="BK108" s="110" t="str">
        <f t="shared" si="9"/>
        <v>NG-HVAC-Blr-HW-300to2500kBtuh-90p0Et-CndReset</v>
      </c>
      <c r="BL108" s="110"/>
      <c r="BM108" s="110"/>
      <c r="BN108" s="110"/>
      <c r="BO108" s="110"/>
      <c r="BP108" s="110"/>
      <c r="BQ108" s="110"/>
      <c r="BR108" s="110"/>
      <c r="BS108" s="110"/>
      <c r="BT108" s="110">
        <f>MATCH(BV108,MeasureCost!$B$82:$B$96,0)</f>
        <v>12</v>
      </c>
      <c r="BU108" s="110" t="e">
        <f>MATCH(BW108,MeasureCost!$B$82:$B$98,0)</f>
        <v>#N/A</v>
      </c>
      <c r="BV108" s="100" t="s">
        <v>453</v>
      </c>
      <c r="BW108" s="100" t="s">
        <v>410</v>
      </c>
    </row>
    <row r="109" spans="1:75">
      <c r="A109" s="112">
        <v>916</v>
      </c>
      <c r="B109" s="112" t="s">
        <v>783</v>
      </c>
      <c r="C109" s="112" t="s">
        <v>461</v>
      </c>
      <c r="D109" s="112" t="s">
        <v>534</v>
      </c>
      <c r="E109" s="112" t="s">
        <v>764</v>
      </c>
      <c r="F109" s="114">
        <v>42139</v>
      </c>
      <c r="G109" s="112" t="s">
        <v>783</v>
      </c>
      <c r="H109" s="112" t="s">
        <v>545</v>
      </c>
      <c r="I109" s="112" t="s">
        <v>404</v>
      </c>
      <c r="J109" s="112" t="s">
        <v>618</v>
      </c>
      <c r="K109" s="112">
        <v>0</v>
      </c>
      <c r="L109" s="112">
        <v>0</v>
      </c>
      <c r="M109" s="112" t="s">
        <v>618</v>
      </c>
      <c r="N109" s="110"/>
      <c r="O109" s="112" t="b">
        <v>0</v>
      </c>
      <c r="P109" s="110"/>
      <c r="Q109" s="112" t="b">
        <v>0</v>
      </c>
      <c r="R109" s="112" t="s">
        <v>116</v>
      </c>
      <c r="S109" s="112" t="s">
        <v>531</v>
      </c>
      <c r="T109" s="112" t="s">
        <v>537</v>
      </c>
      <c r="U109" s="112" t="s">
        <v>550</v>
      </c>
      <c r="V109" s="112" t="s">
        <v>558</v>
      </c>
      <c r="W109" s="112" t="s">
        <v>552</v>
      </c>
      <c r="X109" s="100" t="s">
        <v>460</v>
      </c>
      <c r="Y109" s="100"/>
      <c r="Z109" s="112" t="s">
        <v>765</v>
      </c>
      <c r="AA109" s="112" t="s">
        <v>778</v>
      </c>
      <c r="AB109" s="112" t="s">
        <v>412</v>
      </c>
      <c r="AC109" s="112" t="s">
        <v>461</v>
      </c>
      <c r="AD109" s="110"/>
      <c r="AE109" s="112"/>
      <c r="AF109" s="110"/>
      <c r="AG109" s="112" t="s">
        <v>544</v>
      </c>
      <c r="AH109" s="110"/>
      <c r="AI109" s="112" t="b">
        <v>0</v>
      </c>
      <c r="AJ109" s="112" t="b">
        <v>0</v>
      </c>
      <c r="AK109" s="110"/>
      <c r="AL109" s="112" t="s">
        <v>622</v>
      </c>
      <c r="AM109" s="112" t="s">
        <v>765</v>
      </c>
      <c r="AN109" s="110"/>
      <c r="AO109" s="112" t="s">
        <v>618</v>
      </c>
      <c r="AP109" s="114">
        <v>42370</v>
      </c>
      <c r="AQ109" s="110"/>
      <c r="AR109" s="112" t="s">
        <v>767</v>
      </c>
      <c r="AS109" s="110"/>
      <c r="AT109" s="110"/>
      <c r="AU109" s="110"/>
      <c r="AV109" s="110"/>
      <c r="AW109" s="112" t="s">
        <v>404</v>
      </c>
      <c r="AX109" s="110"/>
      <c r="AY109" s="138">
        <f>VLOOKUP(X109,MeasureCost!$B$6:$Z$97,24,FALSE)</f>
        <v>300</v>
      </c>
      <c r="AZ109" s="138">
        <f>VLOOKUP(X109,MeasureCost!$B$6:$Z$97,25,FALSE)</f>
        <v>4000</v>
      </c>
      <c r="BA109" s="138">
        <v>2000</v>
      </c>
      <c r="BC109" s="97">
        <f>VLOOKUP(X109,MeasureCost!$B$6:$W$97,22,FALSE)</f>
        <v>6869</v>
      </c>
      <c r="BD109" s="97">
        <f>VLOOKUP(X109,MeasureCost!$B$6:$W$97,20,FALSE)</f>
        <v>12.83</v>
      </c>
      <c r="BE109" s="97">
        <f t="shared" si="8"/>
        <v>32529</v>
      </c>
      <c r="BF109" s="97"/>
      <c r="BG109" s="97"/>
      <c r="BH109" s="97"/>
      <c r="BI109" s="82"/>
      <c r="BJ109" s="110"/>
      <c r="BK109" s="110" t="str">
        <f t="shared" si="9"/>
        <v>NG-HVAC-Blr-HW-300to2500kBtuh-94p0Et-CndStd</v>
      </c>
      <c r="BL109" s="110"/>
      <c r="BM109" s="110"/>
      <c r="BN109" s="110"/>
      <c r="BO109" s="110"/>
      <c r="BP109" s="110"/>
      <c r="BQ109" s="110"/>
      <c r="BR109" s="110"/>
      <c r="BS109" s="110"/>
      <c r="BT109" s="110">
        <f>MATCH(BV109,MeasureCost!$B$82:$B$96,0)</f>
        <v>11</v>
      </c>
      <c r="BU109" s="110" t="e">
        <f>MATCH(BW109,MeasureCost!$B$82:$B$98,0)</f>
        <v>#N/A</v>
      </c>
      <c r="BV109" s="100" t="s">
        <v>460</v>
      </c>
      <c r="BW109" s="100" t="s">
        <v>410</v>
      </c>
    </row>
    <row r="110" spans="1:75">
      <c r="A110" s="112">
        <v>917</v>
      </c>
      <c r="B110" s="112" t="s">
        <v>784</v>
      </c>
      <c r="C110" s="112" t="s">
        <v>463</v>
      </c>
      <c r="D110" s="112" t="s">
        <v>534</v>
      </c>
      <c r="E110" s="112" t="s">
        <v>764</v>
      </c>
      <c r="F110" s="114">
        <v>42139</v>
      </c>
      <c r="G110" s="112" t="s">
        <v>784</v>
      </c>
      <c r="H110" s="112" t="s">
        <v>545</v>
      </c>
      <c r="I110" s="112" t="s">
        <v>404</v>
      </c>
      <c r="J110" s="112" t="s">
        <v>618</v>
      </c>
      <c r="K110" s="112">
        <v>0</v>
      </c>
      <c r="L110" s="112">
        <v>0</v>
      </c>
      <c r="M110" s="112" t="s">
        <v>618</v>
      </c>
      <c r="N110" s="110"/>
      <c r="O110" s="112" t="b">
        <v>0</v>
      </c>
      <c r="P110" s="110"/>
      <c r="Q110" s="112" t="b">
        <v>0</v>
      </c>
      <c r="R110" s="112" t="s">
        <v>116</v>
      </c>
      <c r="S110" s="112" t="s">
        <v>531</v>
      </c>
      <c r="T110" s="112" t="s">
        <v>537</v>
      </c>
      <c r="U110" s="112" t="s">
        <v>550</v>
      </c>
      <c r="V110" s="112" t="s">
        <v>558</v>
      </c>
      <c r="W110" s="112" t="s">
        <v>552</v>
      </c>
      <c r="X110" s="100" t="s">
        <v>460</v>
      </c>
      <c r="Y110" s="100"/>
      <c r="Z110" s="112" t="s">
        <v>765</v>
      </c>
      <c r="AA110" s="112" t="s">
        <v>778</v>
      </c>
      <c r="AB110" s="112" t="s">
        <v>412</v>
      </c>
      <c r="AC110" s="112" t="s">
        <v>463</v>
      </c>
      <c r="AD110" s="110"/>
      <c r="AE110" s="112"/>
      <c r="AF110" s="110"/>
      <c r="AG110" s="112" t="s">
        <v>544</v>
      </c>
      <c r="AH110" s="110"/>
      <c r="AI110" s="112" t="b">
        <v>0</v>
      </c>
      <c r="AJ110" s="112" t="b">
        <v>0</v>
      </c>
      <c r="AK110" s="110"/>
      <c r="AL110" s="112" t="s">
        <v>622</v>
      </c>
      <c r="AM110" s="112" t="s">
        <v>765</v>
      </c>
      <c r="AN110" s="110"/>
      <c r="AO110" s="112" t="s">
        <v>618</v>
      </c>
      <c r="AP110" s="114">
        <v>42370</v>
      </c>
      <c r="AQ110" s="110"/>
      <c r="AR110" s="112" t="s">
        <v>767</v>
      </c>
      <c r="AS110" s="110"/>
      <c r="AT110" s="110"/>
      <c r="AU110" s="110"/>
      <c r="AV110" s="110"/>
      <c r="AW110" s="112" t="s">
        <v>404</v>
      </c>
      <c r="AX110" s="110"/>
      <c r="AY110" s="138">
        <f>VLOOKUP(X110,MeasureCost!$B$6:$Z$97,24,FALSE)</f>
        <v>300</v>
      </c>
      <c r="AZ110" s="138">
        <f>VLOOKUP(X110,MeasureCost!$B$6:$Z$97,25,FALSE)</f>
        <v>4000</v>
      </c>
      <c r="BA110" s="138">
        <v>2000</v>
      </c>
      <c r="BC110" s="97">
        <f>VLOOKUP(X110,MeasureCost!$B$6:$W$97,22,FALSE)</f>
        <v>6869</v>
      </c>
      <c r="BD110" s="97">
        <f>VLOOKUP(X110,MeasureCost!$B$6:$W$97,20,FALSE)</f>
        <v>12.83</v>
      </c>
      <c r="BE110" s="97">
        <f t="shared" si="8"/>
        <v>32529</v>
      </c>
      <c r="BF110" s="97"/>
      <c r="BG110" s="97"/>
      <c r="BH110" s="97"/>
      <c r="BI110" s="82"/>
      <c r="BJ110" s="110"/>
      <c r="BK110" s="110" t="str">
        <f t="shared" si="9"/>
        <v>NG-HVAC-Blr-HW-300to2500kBtuh-94p0Et-CndLow</v>
      </c>
      <c r="BL110" s="110"/>
      <c r="BM110" s="110"/>
      <c r="BN110" s="110"/>
      <c r="BO110" s="110"/>
      <c r="BP110" s="110"/>
      <c r="BQ110" s="110"/>
      <c r="BR110" s="110"/>
      <c r="BS110" s="110"/>
      <c r="BT110" s="110">
        <f>MATCH(BV110,MeasureCost!$B$82:$B$96,0)</f>
        <v>11</v>
      </c>
      <c r="BU110" s="110" t="e">
        <f>MATCH(BW110,MeasureCost!$B$82:$B$98,0)</f>
        <v>#N/A</v>
      </c>
      <c r="BV110" s="100" t="s">
        <v>460</v>
      </c>
      <c r="BW110" s="100" t="s">
        <v>410</v>
      </c>
    </row>
    <row r="111" spans="1:75">
      <c r="A111" s="112">
        <v>918</v>
      </c>
      <c r="B111" s="112" t="s">
        <v>785</v>
      </c>
      <c r="C111" s="112" t="s">
        <v>465</v>
      </c>
      <c r="D111" s="112" t="s">
        <v>534</v>
      </c>
      <c r="E111" s="112" t="s">
        <v>764</v>
      </c>
      <c r="F111" s="114">
        <v>42139</v>
      </c>
      <c r="G111" s="112" t="s">
        <v>785</v>
      </c>
      <c r="H111" s="112" t="s">
        <v>545</v>
      </c>
      <c r="I111" s="112" t="s">
        <v>404</v>
      </c>
      <c r="J111" s="112" t="s">
        <v>618</v>
      </c>
      <c r="K111" s="112">
        <v>0</v>
      </c>
      <c r="L111" s="112">
        <v>0</v>
      </c>
      <c r="M111" s="112" t="s">
        <v>618</v>
      </c>
      <c r="N111" s="110"/>
      <c r="O111" s="112" t="b">
        <v>0</v>
      </c>
      <c r="P111" s="110"/>
      <c r="Q111" s="112" t="b">
        <v>0</v>
      </c>
      <c r="R111" s="112" t="s">
        <v>116</v>
      </c>
      <c r="S111" s="112" t="s">
        <v>531</v>
      </c>
      <c r="T111" s="112" t="s">
        <v>537</v>
      </c>
      <c r="U111" s="112" t="s">
        <v>550</v>
      </c>
      <c r="V111" s="112" t="s">
        <v>558</v>
      </c>
      <c r="W111" s="112" t="s">
        <v>552</v>
      </c>
      <c r="X111" s="100" t="s">
        <v>460</v>
      </c>
      <c r="Y111" s="100"/>
      <c r="Z111" s="112" t="s">
        <v>765</v>
      </c>
      <c r="AA111" s="112" t="s">
        <v>778</v>
      </c>
      <c r="AB111" s="112" t="s">
        <v>412</v>
      </c>
      <c r="AC111" s="112" t="s">
        <v>465</v>
      </c>
      <c r="AD111" s="110"/>
      <c r="AE111" s="112"/>
      <c r="AF111" s="110"/>
      <c r="AG111" s="112" t="s">
        <v>544</v>
      </c>
      <c r="AH111" s="110"/>
      <c r="AI111" s="112" t="b">
        <v>0</v>
      </c>
      <c r="AJ111" s="112" t="b">
        <v>0</v>
      </c>
      <c r="AK111" s="110"/>
      <c r="AL111" s="112" t="s">
        <v>622</v>
      </c>
      <c r="AM111" s="112" t="s">
        <v>765</v>
      </c>
      <c r="AN111" s="110"/>
      <c r="AO111" s="112" t="s">
        <v>618</v>
      </c>
      <c r="AP111" s="114">
        <v>42370</v>
      </c>
      <c r="AQ111" s="110"/>
      <c r="AR111" s="112" t="s">
        <v>767</v>
      </c>
      <c r="AS111" s="110"/>
      <c r="AT111" s="110"/>
      <c r="AU111" s="110"/>
      <c r="AV111" s="110"/>
      <c r="AW111" s="112" t="s">
        <v>404</v>
      </c>
      <c r="AX111" s="110"/>
      <c r="AY111" s="138">
        <f>VLOOKUP(X111,MeasureCost!$B$6:$Z$97,24,FALSE)</f>
        <v>300</v>
      </c>
      <c r="AZ111" s="138">
        <f>VLOOKUP(X111,MeasureCost!$B$6:$Z$97,25,FALSE)</f>
        <v>4000</v>
      </c>
      <c r="BA111" s="138">
        <v>2000</v>
      </c>
      <c r="BC111" s="97">
        <f>VLOOKUP(X111,MeasureCost!$B$6:$W$97,22,FALSE)</f>
        <v>6869</v>
      </c>
      <c r="BD111" s="97">
        <f>VLOOKUP(X111,MeasureCost!$B$6:$W$97,20,FALSE)</f>
        <v>12.83</v>
      </c>
      <c r="BE111" s="97">
        <f t="shared" si="8"/>
        <v>32529</v>
      </c>
      <c r="BF111" s="97"/>
      <c r="BG111" s="97"/>
      <c r="BH111" s="97"/>
      <c r="BI111" s="82"/>
      <c r="BJ111" s="110"/>
      <c r="BK111" s="110" t="str">
        <f t="shared" si="9"/>
        <v>NG-HVAC-Blr-HW-300to2500kBtuh-94p0Et-CndReset</v>
      </c>
      <c r="BL111" s="110"/>
      <c r="BM111" s="110"/>
      <c r="BN111" s="110"/>
      <c r="BO111" s="110"/>
      <c r="BP111" s="110"/>
      <c r="BQ111" s="110"/>
      <c r="BR111" s="110"/>
      <c r="BS111" s="110"/>
      <c r="BT111" s="110">
        <f>MATCH(BV111,MeasureCost!$B$82:$B$96,0)</f>
        <v>11</v>
      </c>
      <c r="BU111" s="110" t="e">
        <f>MATCH(BW111,MeasureCost!$B$82:$B$98,0)</f>
        <v>#N/A</v>
      </c>
      <c r="BV111" s="100" t="s">
        <v>460</v>
      </c>
      <c r="BW111" s="100" t="s">
        <v>410</v>
      </c>
    </row>
    <row r="112" spans="1:75">
      <c r="A112" s="112">
        <v>919</v>
      </c>
      <c r="B112" s="112" t="s">
        <v>786</v>
      </c>
      <c r="C112" s="112" t="s">
        <v>467</v>
      </c>
      <c r="D112" s="112" t="s">
        <v>534</v>
      </c>
      <c r="E112" s="112" t="s">
        <v>764</v>
      </c>
      <c r="F112" s="114">
        <v>42139</v>
      </c>
      <c r="G112" s="112" t="s">
        <v>786</v>
      </c>
      <c r="H112" s="112" t="s">
        <v>545</v>
      </c>
      <c r="I112" s="112" t="s">
        <v>404</v>
      </c>
      <c r="J112" s="112" t="s">
        <v>618</v>
      </c>
      <c r="K112" s="112">
        <v>0</v>
      </c>
      <c r="L112" s="112">
        <v>0</v>
      </c>
      <c r="M112" s="112" t="s">
        <v>618</v>
      </c>
      <c r="N112" s="110"/>
      <c r="O112" s="112" t="b">
        <v>0</v>
      </c>
      <c r="P112" s="110"/>
      <c r="Q112" s="112" t="b">
        <v>0</v>
      </c>
      <c r="R112" s="112" t="s">
        <v>116</v>
      </c>
      <c r="S112" s="112" t="s">
        <v>531</v>
      </c>
      <c r="T112" s="112" t="s">
        <v>537</v>
      </c>
      <c r="U112" s="112" t="s">
        <v>550</v>
      </c>
      <c r="V112" s="112" t="s">
        <v>558</v>
      </c>
      <c r="W112" s="112" t="s">
        <v>552</v>
      </c>
      <c r="X112" s="100" t="s">
        <v>466</v>
      </c>
      <c r="Y112" s="100"/>
      <c r="Z112" s="112" t="s">
        <v>765</v>
      </c>
      <c r="AA112" s="112" t="s">
        <v>787</v>
      </c>
      <c r="AB112" s="112" t="s">
        <v>416</v>
      </c>
      <c r="AC112" s="112" t="s">
        <v>467</v>
      </c>
      <c r="AD112" s="110"/>
      <c r="AE112" s="112"/>
      <c r="AF112" s="110"/>
      <c r="AG112" s="112" t="s">
        <v>544</v>
      </c>
      <c r="AH112" s="110"/>
      <c r="AI112" s="112" t="b">
        <v>0</v>
      </c>
      <c r="AJ112" s="112" t="b">
        <v>0</v>
      </c>
      <c r="AK112" s="110"/>
      <c r="AL112" s="112" t="s">
        <v>622</v>
      </c>
      <c r="AM112" s="112" t="s">
        <v>765</v>
      </c>
      <c r="AN112" s="110"/>
      <c r="AO112" s="112" t="s">
        <v>618</v>
      </c>
      <c r="AP112" s="114">
        <v>42370</v>
      </c>
      <c r="AQ112" s="110"/>
      <c r="AR112" s="112" t="s">
        <v>767</v>
      </c>
      <c r="AS112" s="110"/>
      <c r="AT112" s="110"/>
      <c r="AU112" s="110"/>
      <c r="AV112" s="110"/>
      <c r="AW112" s="112" t="s">
        <v>404</v>
      </c>
      <c r="AX112" s="110"/>
      <c r="AY112" s="138">
        <f>VLOOKUP(X112,MeasureCost!$B$6:$Z$97,24,FALSE)</f>
        <v>300</v>
      </c>
      <c r="AZ112" s="138">
        <f>VLOOKUP(X112,MeasureCost!$B$6:$Z$97,25,FALSE)</f>
        <v>4000</v>
      </c>
      <c r="BA112" s="138">
        <v>2000</v>
      </c>
      <c r="BC112" s="97">
        <f>VLOOKUP(X112,MeasureCost!$B$6:$W$97,22,FALSE)</f>
        <v>-422</v>
      </c>
      <c r="BD112" s="97">
        <f>VLOOKUP(X112,MeasureCost!$B$6:$W$97,20,FALSE)</f>
        <v>17.600000000000001</v>
      </c>
      <c r="BE112" s="97">
        <f t="shared" si="8"/>
        <v>34778</v>
      </c>
      <c r="BF112" s="97"/>
      <c r="BG112" s="97"/>
      <c r="BH112" s="97"/>
      <c r="BI112" s="82"/>
      <c r="BJ112" s="110"/>
      <c r="BK112" s="110" t="str">
        <f t="shared" si="9"/>
        <v>NG-HVAC-Blr-HW-gt2500kBtuh-83p0Et-Drft</v>
      </c>
      <c r="BL112" s="110"/>
      <c r="BM112" s="110"/>
      <c r="BN112" s="110"/>
      <c r="BO112" s="110"/>
      <c r="BP112" s="110"/>
      <c r="BQ112" s="110"/>
      <c r="BR112" s="110"/>
      <c r="BS112" s="110"/>
      <c r="BT112" s="110">
        <f>MATCH(BV112,MeasureCost!$B$82:$B$96,0)</f>
        <v>13</v>
      </c>
      <c r="BU112" s="110" t="e">
        <f>MATCH(BW112,MeasureCost!$B$82:$B$98,0)</f>
        <v>#N/A</v>
      </c>
      <c r="BV112" s="100" t="s">
        <v>466</v>
      </c>
      <c r="BW112" s="100" t="s">
        <v>413</v>
      </c>
    </row>
    <row r="113" spans="1:75">
      <c r="A113" s="112">
        <v>920</v>
      </c>
      <c r="B113" s="112" t="s">
        <v>788</v>
      </c>
      <c r="C113" s="112" t="s">
        <v>469</v>
      </c>
      <c r="D113" s="112" t="s">
        <v>534</v>
      </c>
      <c r="E113" s="112" t="s">
        <v>764</v>
      </c>
      <c r="F113" s="114">
        <v>42139</v>
      </c>
      <c r="G113" s="112" t="s">
        <v>788</v>
      </c>
      <c r="H113" s="112" t="s">
        <v>545</v>
      </c>
      <c r="I113" s="112" t="s">
        <v>404</v>
      </c>
      <c r="J113" s="112" t="s">
        <v>618</v>
      </c>
      <c r="K113" s="112">
        <v>0</v>
      </c>
      <c r="L113" s="112">
        <v>0</v>
      </c>
      <c r="M113" s="112" t="s">
        <v>618</v>
      </c>
      <c r="N113" s="110"/>
      <c r="O113" s="112" t="b">
        <v>0</v>
      </c>
      <c r="P113" s="110"/>
      <c r="Q113" s="112" t="b">
        <v>0</v>
      </c>
      <c r="R113" s="112" t="s">
        <v>116</v>
      </c>
      <c r="S113" s="112" t="s">
        <v>531</v>
      </c>
      <c r="T113" s="112" t="s">
        <v>537</v>
      </c>
      <c r="U113" s="112" t="s">
        <v>550</v>
      </c>
      <c r="V113" s="112" t="s">
        <v>558</v>
      </c>
      <c r="W113" s="112" t="s">
        <v>552</v>
      </c>
      <c r="X113" s="100" t="s">
        <v>468</v>
      </c>
      <c r="Y113" s="100"/>
      <c r="Z113" s="112" t="s">
        <v>765</v>
      </c>
      <c r="AA113" s="112" t="s">
        <v>787</v>
      </c>
      <c r="AB113" s="112" t="s">
        <v>416</v>
      </c>
      <c r="AC113" s="112" t="s">
        <v>469</v>
      </c>
      <c r="AD113" s="110"/>
      <c r="AE113" s="112"/>
      <c r="AF113" s="110"/>
      <c r="AG113" s="112" t="s">
        <v>544</v>
      </c>
      <c r="AH113" s="110"/>
      <c r="AI113" s="112" t="b">
        <v>0</v>
      </c>
      <c r="AJ113" s="112" t="b">
        <v>0</v>
      </c>
      <c r="AK113" s="110"/>
      <c r="AL113" s="112" t="s">
        <v>622</v>
      </c>
      <c r="AM113" s="112" t="s">
        <v>765</v>
      </c>
      <c r="AN113" s="110"/>
      <c r="AO113" s="112" t="s">
        <v>618</v>
      </c>
      <c r="AP113" s="114">
        <v>42370</v>
      </c>
      <c r="AQ113" s="110"/>
      <c r="AR113" s="112" t="s">
        <v>767</v>
      </c>
      <c r="AS113" s="110"/>
      <c r="AT113" s="110"/>
      <c r="AU113" s="110"/>
      <c r="AV113" s="110"/>
      <c r="AW113" s="112" t="s">
        <v>404</v>
      </c>
      <c r="AX113" s="110"/>
      <c r="AY113" s="138">
        <f>VLOOKUP(X113,MeasureCost!$B$6:$Z$97,24,FALSE)</f>
        <v>300</v>
      </c>
      <c r="AZ113" s="138">
        <f>VLOOKUP(X113,MeasureCost!$B$6:$Z$97,25,FALSE)</f>
        <v>4000</v>
      </c>
      <c r="BA113" s="138">
        <v>2000</v>
      </c>
      <c r="BC113" s="97">
        <f>VLOOKUP(X113,MeasureCost!$B$6:$W$97,22,FALSE)</f>
        <v>12721</v>
      </c>
      <c r="BD113" s="97">
        <f>VLOOKUP(X113,MeasureCost!$B$6:$W$97,20,FALSE)</f>
        <v>17.600000000000001</v>
      </c>
      <c r="BE113" s="97">
        <f t="shared" si="8"/>
        <v>47921</v>
      </c>
      <c r="BF113" s="97"/>
      <c r="BG113" s="97"/>
      <c r="BH113" s="97"/>
      <c r="BI113" s="82"/>
      <c r="BJ113" s="110"/>
      <c r="BK113" s="110" t="str">
        <f t="shared" si="9"/>
        <v>NG-HVAC-Blr-HW-gt2500kBtuh-85p0Et-Drft</v>
      </c>
      <c r="BL113" s="110"/>
      <c r="BM113" s="110"/>
      <c r="BN113" s="110"/>
      <c r="BO113" s="110"/>
      <c r="BP113" s="110"/>
      <c r="BQ113" s="110"/>
      <c r="BR113" s="110"/>
      <c r="BS113" s="110"/>
      <c r="BT113" s="110">
        <f>MATCH(BV113,MeasureCost!$B$82:$B$96,0)</f>
        <v>14</v>
      </c>
      <c r="BU113" s="110" t="e">
        <f>MATCH(BW113,MeasureCost!$B$82:$B$98,0)</f>
        <v>#N/A</v>
      </c>
      <c r="BV113" s="100" t="s">
        <v>468</v>
      </c>
      <c r="BW113" s="100" t="s">
        <v>413</v>
      </c>
    </row>
    <row r="114" spans="1:75">
      <c r="A114" s="112">
        <v>921</v>
      </c>
      <c r="B114" s="112" t="s">
        <v>789</v>
      </c>
      <c r="C114" s="112" t="s">
        <v>472</v>
      </c>
      <c r="D114" s="112" t="s">
        <v>534</v>
      </c>
      <c r="E114" s="112" t="s">
        <v>764</v>
      </c>
      <c r="F114" s="114">
        <v>42139</v>
      </c>
      <c r="G114" s="112" t="s">
        <v>789</v>
      </c>
      <c r="H114" s="112" t="s">
        <v>545</v>
      </c>
      <c r="I114" s="112" t="s">
        <v>404</v>
      </c>
      <c r="J114" s="112" t="s">
        <v>618</v>
      </c>
      <c r="K114" s="112">
        <v>0</v>
      </c>
      <c r="L114" s="112">
        <v>0</v>
      </c>
      <c r="M114" s="112" t="s">
        <v>618</v>
      </c>
      <c r="N114" s="110"/>
      <c r="O114" s="112" t="b">
        <v>0</v>
      </c>
      <c r="P114" s="110"/>
      <c r="Q114" s="112" t="b">
        <v>0</v>
      </c>
      <c r="R114" s="112" t="s">
        <v>116</v>
      </c>
      <c r="S114" s="112" t="s">
        <v>531</v>
      </c>
      <c r="T114" s="112" t="s">
        <v>537</v>
      </c>
      <c r="U114" s="112" t="s">
        <v>550</v>
      </c>
      <c r="V114" s="112" t="s">
        <v>558</v>
      </c>
      <c r="W114" s="112" t="s">
        <v>552</v>
      </c>
      <c r="X114" s="100" t="s">
        <v>471</v>
      </c>
      <c r="Y114" s="100"/>
      <c r="Z114" s="112" t="s">
        <v>765</v>
      </c>
      <c r="AA114" s="112" t="s">
        <v>787</v>
      </c>
      <c r="AB114" s="112" t="s">
        <v>416</v>
      </c>
      <c r="AC114" s="112" t="s">
        <v>472</v>
      </c>
      <c r="AD114" s="110"/>
      <c r="AE114" s="112"/>
      <c r="AF114" s="110"/>
      <c r="AG114" s="112" t="s">
        <v>544</v>
      </c>
      <c r="AH114" s="110"/>
      <c r="AI114" s="112" t="b">
        <v>0</v>
      </c>
      <c r="AJ114" s="112" t="b">
        <v>0</v>
      </c>
      <c r="AK114" s="110"/>
      <c r="AL114" s="112" t="s">
        <v>622</v>
      </c>
      <c r="AM114" s="112" t="s">
        <v>765</v>
      </c>
      <c r="AN114" s="110"/>
      <c r="AO114" s="112" t="s">
        <v>618</v>
      </c>
      <c r="AP114" s="114">
        <v>42370</v>
      </c>
      <c r="AQ114" s="110"/>
      <c r="AR114" s="112" t="s">
        <v>767</v>
      </c>
      <c r="AS114" s="110"/>
      <c r="AT114" s="110"/>
      <c r="AU114" s="110"/>
      <c r="AV114" s="110"/>
      <c r="AW114" s="112" t="s">
        <v>404</v>
      </c>
      <c r="AX114" s="110"/>
      <c r="AY114" s="138">
        <f>VLOOKUP(X114,MeasureCost!$B$6:$Z$97,24,FALSE)</f>
        <v>300</v>
      </c>
      <c r="AZ114" s="138">
        <f>VLOOKUP(X114,MeasureCost!$B$6:$Z$97,25,FALSE)</f>
        <v>4000</v>
      </c>
      <c r="BA114" s="138">
        <v>2000</v>
      </c>
      <c r="BC114" s="97">
        <f>VLOOKUP(X114,MeasureCost!$B$6:$W$97,22,FALSE)</f>
        <v>-598</v>
      </c>
      <c r="BD114" s="97">
        <f>VLOOKUP(X114,MeasureCost!$B$6:$W$97,20,FALSE)</f>
        <v>12.83</v>
      </c>
      <c r="BE114" s="97">
        <f t="shared" si="8"/>
        <v>25062</v>
      </c>
      <c r="BF114" s="97"/>
      <c r="BG114" s="97"/>
      <c r="BH114" s="97"/>
      <c r="BI114" s="82"/>
      <c r="BJ114" s="110"/>
      <c r="BK114" s="110" t="str">
        <f t="shared" si="9"/>
        <v>NG-HVAC-Blr-HW-gt2500kBtuh-90p0Et-CndStd</v>
      </c>
      <c r="BL114" s="110"/>
      <c r="BM114" s="110"/>
      <c r="BN114" s="110"/>
      <c r="BO114" s="110"/>
      <c r="BP114" s="110"/>
      <c r="BQ114" s="110"/>
      <c r="BR114" s="110"/>
      <c r="BS114" s="110"/>
      <c r="BT114" s="110" t="e">
        <f>MATCH(BV114,MeasureCost!$B$82:$B$96,0)</f>
        <v>#N/A</v>
      </c>
      <c r="BU114" s="110" t="e">
        <f>MATCH(BW114,MeasureCost!$B$82:$B$98,0)</f>
        <v>#N/A</v>
      </c>
      <c r="BV114" s="100" t="s">
        <v>471</v>
      </c>
      <c r="BW114" s="100" t="s">
        <v>413</v>
      </c>
    </row>
    <row r="115" spans="1:75">
      <c r="A115" s="112">
        <v>922</v>
      </c>
      <c r="B115" s="112" t="s">
        <v>790</v>
      </c>
      <c r="C115" s="112" t="s">
        <v>474</v>
      </c>
      <c r="D115" s="112" t="s">
        <v>534</v>
      </c>
      <c r="E115" s="112" t="s">
        <v>764</v>
      </c>
      <c r="F115" s="114">
        <v>42139</v>
      </c>
      <c r="G115" s="112" t="s">
        <v>790</v>
      </c>
      <c r="H115" s="112" t="s">
        <v>545</v>
      </c>
      <c r="I115" s="112" t="s">
        <v>404</v>
      </c>
      <c r="J115" s="112" t="s">
        <v>618</v>
      </c>
      <c r="K115" s="112">
        <v>0</v>
      </c>
      <c r="L115" s="112">
        <v>0</v>
      </c>
      <c r="M115" s="112" t="s">
        <v>618</v>
      </c>
      <c r="N115" s="110"/>
      <c r="O115" s="112" t="b">
        <v>0</v>
      </c>
      <c r="P115" s="110"/>
      <c r="Q115" s="112" t="b">
        <v>0</v>
      </c>
      <c r="R115" s="112" t="s">
        <v>116</v>
      </c>
      <c r="S115" s="112" t="s">
        <v>531</v>
      </c>
      <c r="T115" s="112" t="s">
        <v>537</v>
      </c>
      <c r="U115" s="112" t="s">
        <v>550</v>
      </c>
      <c r="V115" s="112" t="s">
        <v>558</v>
      </c>
      <c r="W115" s="112" t="s">
        <v>552</v>
      </c>
      <c r="X115" s="100" t="s">
        <v>471</v>
      </c>
      <c r="Y115" s="100"/>
      <c r="Z115" s="112" t="s">
        <v>765</v>
      </c>
      <c r="AA115" s="112" t="s">
        <v>787</v>
      </c>
      <c r="AB115" s="112" t="s">
        <v>416</v>
      </c>
      <c r="AC115" s="112" t="s">
        <v>474</v>
      </c>
      <c r="AD115" s="110"/>
      <c r="AE115" s="112"/>
      <c r="AF115" s="110"/>
      <c r="AG115" s="112" t="s">
        <v>544</v>
      </c>
      <c r="AH115" s="110"/>
      <c r="AI115" s="112" t="b">
        <v>0</v>
      </c>
      <c r="AJ115" s="112" t="b">
        <v>0</v>
      </c>
      <c r="AK115" s="110"/>
      <c r="AL115" s="112" t="s">
        <v>622</v>
      </c>
      <c r="AM115" s="112" t="s">
        <v>765</v>
      </c>
      <c r="AN115" s="110"/>
      <c r="AO115" s="112" t="s">
        <v>618</v>
      </c>
      <c r="AP115" s="114">
        <v>42370</v>
      </c>
      <c r="AQ115" s="110"/>
      <c r="AR115" s="112" t="s">
        <v>767</v>
      </c>
      <c r="AS115" s="110"/>
      <c r="AT115" s="110"/>
      <c r="AU115" s="110"/>
      <c r="AV115" s="110"/>
      <c r="AW115" s="112" t="s">
        <v>404</v>
      </c>
      <c r="AX115" s="110"/>
      <c r="AY115" s="138">
        <f>VLOOKUP(X115,MeasureCost!$B$6:$Z$97,24,FALSE)</f>
        <v>300</v>
      </c>
      <c r="AZ115" s="138">
        <f>VLOOKUP(X115,MeasureCost!$B$6:$Z$97,25,FALSE)</f>
        <v>4000</v>
      </c>
      <c r="BA115" s="138">
        <v>2000</v>
      </c>
      <c r="BC115" s="97">
        <f>VLOOKUP(X115,MeasureCost!$B$6:$W$97,22,FALSE)</f>
        <v>-598</v>
      </c>
      <c r="BD115" s="97">
        <f>VLOOKUP(X115,MeasureCost!$B$6:$W$97,20,FALSE)</f>
        <v>12.83</v>
      </c>
      <c r="BE115" s="97">
        <f t="shared" si="8"/>
        <v>25062</v>
      </c>
      <c r="BF115" s="97"/>
      <c r="BG115" s="97"/>
      <c r="BH115" s="97"/>
      <c r="BI115" s="82"/>
      <c r="BJ115" s="110"/>
      <c r="BK115" s="110" t="str">
        <f t="shared" si="9"/>
        <v>NG-HVAC-Blr-HW-gt2500kBtuh-90p0Et-CndLow</v>
      </c>
      <c r="BL115" s="110"/>
      <c r="BM115" s="110"/>
      <c r="BN115" s="110"/>
      <c r="BO115" s="110"/>
      <c r="BP115" s="110"/>
      <c r="BQ115" s="110"/>
      <c r="BR115" s="110"/>
      <c r="BS115" s="110"/>
      <c r="BT115" s="110" t="e">
        <f>MATCH(BV115,MeasureCost!$B$82:$B$96,0)</f>
        <v>#N/A</v>
      </c>
      <c r="BU115" s="110" t="e">
        <f>MATCH(BW115,MeasureCost!$B$82:$B$98,0)</f>
        <v>#N/A</v>
      </c>
      <c r="BV115" s="100" t="s">
        <v>471</v>
      </c>
      <c r="BW115" s="100" t="s">
        <v>413</v>
      </c>
    </row>
    <row r="116" spans="1:75">
      <c r="A116" s="112">
        <v>923</v>
      </c>
      <c r="B116" s="112" t="s">
        <v>791</v>
      </c>
      <c r="C116" s="112" t="s">
        <v>476</v>
      </c>
      <c r="D116" s="112" t="s">
        <v>534</v>
      </c>
      <c r="E116" s="112" t="s">
        <v>764</v>
      </c>
      <c r="F116" s="114">
        <v>42139</v>
      </c>
      <c r="G116" s="112" t="s">
        <v>791</v>
      </c>
      <c r="H116" s="112" t="s">
        <v>545</v>
      </c>
      <c r="I116" s="112" t="s">
        <v>404</v>
      </c>
      <c r="J116" s="112" t="s">
        <v>618</v>
      </c>
      <c r="K116" s="112">
        <v>0</v>
      </c>
      <c r="L116" s="112">
        <v>0</v>
      </c>
      <c r="M116" s="112" t="s">
        <v>618</v>
      </c>
      <c r="N116" s="110"/>
      <c r="O116" s="112" t="b">
        <v>0</v>
      </c>
      <c r="P116" s="110"/>
      <c r="Q116" s="112" t="b">
        <v>0</v>
      </c>
      <c r="R116" s="112" t="s">
        <v>116</v>
      </c>
      <c r="S116" s="112" t="s">
        <v>531</v>
      </c>
      <c r="T116" s="112" t="s">
        <v>537</v>
      </c>
      <c r="U116" s="112" t="s">
        <v>550</v>
      </c>
      <c r="V116" s="112" t="s">
        <v>558</v>
      </c>
      <c r="W116" s="112" t="s">
        <v>552</v>
      </c>
      <c r="X116" s="100" t="s">
        <v>471</v>
      </c>
      <c r="Y116" s="100"/>
      <c r="Z116" s="112" t="s">
        <v>765</v>
      </c>
      <c r="AA116" s="112" t="s">
        <v>787</v>
      </c>
      <c r="AB116" s="112" t="s">
        <v>416</v>
      </c>
      <c r="AC116" s="112" t="s">
        <v>476</v>
      </c>
      <c r="AD116" s="110"/>
      <c r="AE116" s="112"/>
      <c r="AF116" s="110"/>
      <c r="AG116" s="112" t="s">
        <v>544</v>
      </c>
      <c r="AH116" s="110"/>
      <c r="AI116" s="112" t="b">
        <v>0</v>
      </c>
      <c r="AJ116" s="112" t="b">
        <v>0</v>
      </c>
      <c r="AK116" s="110"/>
      <c r="AL116" s="112" t="s">
        <v>622</v>
      </c>
      <c r="AM116" s="112" t="s">
        <v>765</v>
      </c>
      <c r="AN116" s="110"/>
      <c r="AO116" s="112" t="s">
        <v>618</v>
      </c>
      <c r="AP116" s="114">
        <v>42370</v>
      </c>
      <c r="AQ116" s="110"/>
      <c r="AR116" s="112" t="s">
        <v>767</v>
      </c>
      <c r="AS116" s="110"/>
      <c r="AT116" s="110"/>
      <c r="AU116" s="110"/>
      <c r="AV116" s="110"/>
      <c r="AW116" s="112" t="s">
        <v>404</v>
      </c>
      <c r="AX116" s="110"/>
      <c r="AY116" s="138">
        <f>VLOOKUP(X116,MeasureCost!$B$6:$Z$97,24,FALSE)</f>
        <v>300</v>
      </c>
      <c r="AZ116" s="138">
        <f>VLOOKUP(X116,MeasureCost!$B$6:$Z$97,25,FALSE)</f>
        <v>4000</v>
      </c>
      <c r="BA116" s="138">
        <v>2000</v>
      </c>
      <c r="BC116" s="97">
        <f>VLOOKUP(X116,MeasureCost!$B$6:$W$97,22,FALSE)</f>
        <v>-598</v>
      </c>
      <c r="BD116" s="97">
        <f>VLOOKUP(X116,MeasureCost!$B$6:$W$97,20,FALSE)</f>
        <v>12.83</v>
      </c>
      <c r="BE116" s="97">
        <f t="shared" si="8"/>
        <v>25062</v>
      </c>
      <c r="BF116" s="97"/>
      <c r="BG116" s="97"/>
      <c r="BH116" s="97"/>
      <c r="BI116" s="82"/>
      <c r="BJ116" s="110"/>
      <c r="BK116" s="110" t="str">
        <f t="shared" si="9"/>
        <v>NG-HVAC-Blr-HW-gt2500kBtuh-90p0Et-CndReset</v>
      </c>
      <c r="BL116" s="110"/>
      <c r="BM116" s="110"/>
      <c r="BN116" s="110"/>
      <c r="BO116" s="110"/>
      <c r="BP116" s="110"/>
      <c r="BQ116" s="110"/>
      <c r="BR116" s="110"/>
      <c r="BS116" s="110"/>
      <c r="BT116" s="110" t="e">
        <f>MATCH(BV116,MeasureCost!$B$82:$B$96,0)</f>
        <v>#N/A</v>
      </c>
      <c r="BU116" s="110" t="e">
        <f>MATCH(BW116,MeasureCost!$B$82:$B$98,0)</f>
        <v>#N/A</v>
      </c>
      <c r="BV116" s="100" t="s">
        <v>471</v>
      </c>
      <c r="BW116" s="100" t="s">
        <v>413</v>
      </c>
    </row>
    <row r="117" spans="1:75">
      <c r="A117" s="112">
        <v>924</v>
      </c>
      <c r="B117" s="112" t="s">
        <v>792</v>
      </c>
      <c r="C117" s="112" t="s">
        <v>479</v>
      </c>
      <c r="D117" s="112" t="s">
        <v>534</v>
      </c>
      <c r="E117" s="112" t="s">
        <v>764</v>
      </c>
      <c r="F117" s="114">
        <v>42139</v>
      </c>
      <c r="G117" s="112" t="s">
        <v>792</v>
      </c>
      <c r="H117" s="112" t="s">
        <v>545</v>
      </c>
      <c r="I117" s="112" t="s">
        <v>404</v>
      </c>
      <c r="J117" s="112" t="s">
        <v>618</v>
      </c>
      <c r="K117" s="112">
        <v>0</v>
      </c>
      <c r="L117" s="112">
        <v>0</v>
      </c>
      <c r="M117" s="112" t="s">
        <v>618</v>
      </c>
      <c r="N117" s="110"/>
      <c r="O117" s="112" t="b">
        <v>0</v>
      </c>
      <c r="P117" s="110"/>
      <c r="Q117" s="112" t="b">
        <v>0</v>
      </c>
      <c r="R117" s="112" t="s">
        <v>116</v>
      </c>
      <c r="S117" s="112" t="s">
        <v>531</v>
      </c>
      <c r="T117" s="112" t="s">
        <v>537</v>
      </c>
      <c r="U117" s="112" t="s">
        <v>550</v>
      </c>
      <c r="V117" s="112" t="s">
        <v>558</v>
      </c>
      <c r="W117" s="112" t="s">
        <v>552</v>
      </c>
      <c r="X117" s="100" t="s">
        <v>478</v>
      </c>
      <c r="Y117" s="100"/>
      <c r="Z117" s="112" t="s">
        <v>765</v>
      </c>
      <c r="AA117" s="112" t="s">
        <v>787</v>
      </c>
      <c r="AB117" s="112" t="s">
        <v>416</v>
      </c>
      <c r="AC117" s="112" t="s">
        <v>479</v>
      </c>
      <c r="AD117" s="110"/>
      <c r="AE117" s="112"/>
      <c r="AF117" s="110"/>
      <c r="AG117" s="112" t="s">
        <v>544</v>
      </c>
      <c r="AH117" s="110"/>
      <c r="AI117" s="112" t="b">
        <v>0</v>
      </c>
      <c r="AJ117" s="112" t="b">
        <v>0</v>
      </c>
      <c r="AK117" s="110"/>
      <c r="AL117" s="112" t="s">
        <v>622</v>
      </c>
      <c r="AM117" s="112" t="s">
        <v>765</v>
      </c>
      <c r="AN117" s="110"/>
      <c r="AO117" s="112" t="s">
        <v>618</v>
      </c>
      <c r="AP117" s="114">
        <v>42370</v>
      </c>
      <c r="AQ117" s="110"/>
      <c r="AR117" s="112" t="s">
        <v>767</v>
      </c>
      <c r="AS117" s="110"/>
      <c r="AT117" s="110"/>
      <c r="AU117" s="110"/>
      <c r="AV117" s="110"/>
      <c r="AW117" s="112" t="s">
        <v>404</v>
      </c>
      <c r="AX117" s="110"/>
      <c r="AY117" s="138">
        <f>VLOOKUP(X117,MeasureCost!$B$6:$Z$97,24,FALSE)</f>
        <v>300</v>
      </c>
      <c r="AZ117" s="138">
        <f>VLOOKUP(X117,MeasureCost!$B$6:$Z$97,25,FALSE)</f>
        <v>4000</v>
      </c>
      <c r="BA117" s="138">
        <v>2000</v>
      </c>
      <c r="BC117" s="97">
        <f>VLOOKUP(X117,MeasureCost!$B$6:$W$97,22,FALSE)</f>
        <v>6869</v>
      </c>
      <c r="BD117" s="97">
        <f>VLOOKUP(X117,MeasureCost!$B$6:$W$97,20,FALSE)</f>
        <v>12.83</v>
      </c>
      <c r="BE117" s="97">
        <f t="shared" si="8"/>
        <v>32529</v>
      </c>
      <c r="BF117" s="97"/>
      <c r="BG117" s="97"/>
      <c r="BH117" s="97"/>
      <c r="BI117" s="82"/>
      <c r="BJ117" s="110"/>
      <c r="BK117" s="110" t="str">
        <f t="shared" si="9"/>
        <v>NG-HVAC-Blr-HW-gt2500kBtuh-94p0Et-CndStd</v>
      </c>
      <c r="BL117" s="110"/>
      <c r="BM117" s="110"/>
      <c r="BN117" s="110"/>
      <c r="BO117" s="110"/>
      <c r="BP117" s="110"/>
      <c r="BQ117" s="110"/>
      <c r="BR117" s="110"/>
      <c r="BS117" s="110"/>
      <c r="BT117" s="110">
        <f>MATCH(BV117,MeasureCost!$B$82:$B$96,0)</f>
        <v>15</v>
      </c>
      <c r="BU117" s="110" t="e">
        <f>MATCH(BW117,MeasureCost!$B$82:$B$98,0)</f>
        <v>#N/A</v>
      </c>
      <c r="BV117" s="100" t="s">
        <v>478</v>
      </c>
      <c r="BW117" s="100" t="s">
        <v>413</v>
      </c>
    </row>
    <row r="118" spans="1:75">
      <c r="A118" s="112">
        <v>925</v>
      </c>
      <c r="B118" s="112" t="s">
        <v>793</v>
      </c>
      <c r="C118" s="112" t="s">
        <v>481</v>
      </c>
      <c r="D118" s="112" t="s">
        <v>534</v>
      </c>
      <c r="E118" s="112" t="s">
        <v>764</v>
      </c>
      <c r="F118" s="114">
        <v>42139</v>
      </c>
      <c r="G118" s="112" t="s">
        <v>793</v>
      </c>
      <c r="H118" s="112" t="s">
        <v>545</v>
      </c>
      <c r="I118" s="112" t="s">
        <v>404</v>
      </c>
      <c r="J118" s="112" t="s">
        <v>618</v>
      </c>
      <c r="K118" s="112">
        <v>0</v>
      </c>
      <c r="L118" s="112">
        <v>0</v>
      </c>
      <c r="M118" s="112" t="s">
        <v>618</v>
      </c>
      <c r="N118" s="110"/>
      <c r="O118" s="112" t="b">
        <v>0</v>
      </c>
      <c r="P118" s="110"/>
      <c r="Q118" s="112" t="b">
        <v>0</v>
      </c>
      <c r="R118" s="112" t="s">
        <v>116</v>
      </c>
      <c r="S118" s="112" t="s">
        <v>531</v>
      </c>
      <c r="T118" s="112" t="s">
        <v>537</v>
      </c>
      <c r="U118" s="112" t="s">
        <v>550</v>
      </c>
      <c r="V118" s="112" t="s">
        <v>558</v>
      </c>
      <c r="W118" s="112" t="s">
        <v>552</v>
      </c>
      <c r="X118" s="100" t="s">
        <v>478</v>
      </c>
      <c r="Y118" s="100"/>
      <c r="Z118" s="112" t="s">
        <v>765</v>
      </c>
      <c r="AA118" s="112" t="s">
        <v>787</v>
      </c>
      <c r="AB118" s="112" t="s">
        <v>416</v>
      </c>
      <c r="AC118" s="112" t="s">
        <v>481</v>
      </c>
      <c r="AD118" s="110"/>
      <c r="AE118" s="112"/>
      <c r="AF118" s="110"/>
      <c r="AG118" s="112" t="s">
        <v>544</v>
      </c>
      <c r="AH118" s="110"/>
      <c r="AI118" s="112" t="b">
        <v>0</v>
      </c>
      <c r="AJ118" s="112" t="b">
        <v>0</v>
      </c>
      <c r="AK118" s="110"/>
      <c r="AL118" s="112" t="s">
        <v>622</v>
      </c>
      <c r="AM118" s="112" t="s">
        <v>765</v>
      </c>
      <c r="AN118" s="110"/>
      <c r="AO118" s="112" t="s">
        <v>618</v>
      </c>
      <c r="AP118" s="114">
        <v>42370</v>
      </c>
      <c r="AQ118" s="110"/>
      <c r="AR118" s="112" t="s">
        <v>767</v>
      </c>
      <c r="AS118" s="110"/>
      <c r="AT118" s="110"/>
      <c r="AU118" s="110"/>
      <c r="AV118" s="110"/>
      <c r="AW118" s="112" t="s">
        <v>404</v>
      </c>
      <c r="AX118" s="110"/>
      <c r="AY118" s="138">
        <f>VLOOKUP(X118,MeasureCost!$B$6:$Z$97,24,FALSE)</f>
        <v>300</v>
      </c>
      <c r="AZ118" s="138">
        <f>VLOOKUP(X118,MeasureCost!$B$6:$Z$97,25,FALSE)</f>
        <v>4000</v>
      </c>
      <c r="BA118" s="138">
        <v>2000</v>
      </c>
      <c r="BC118" s="97">
        <f>VLOOKUP(X118,MeasureCost!$B$6:$W$97,22,FALSE)</f>
        <v>6869</v>
      </c>
      <c r="BD118" s="97">
        <f>VLOOKUP(X118,MeasureCost!$B$6:$W$97,20,FALSE)</f>
        <v>12.83</v>
      </c>
      <c r="BE118" s="97">
        <f t="shared" si="8"/>
        <v>32529</v>
      </c>
      <c r="BF118" s="97"/>
      <c r="BG118" s="97"/>
      <c r="BH118" s="97"/>
      <c r="BI118" s="82"/>
      <c r="BJ118" s="110"/>
      <c r="BK118" s="110" t="str">
        <f t="shared" si="9"/>
        <v>NG-HVAC-Blr-HW-gt2500kBtuh-94p0Et-CndLow</v>
      </c>
      <c r="BL118" s="110"/>
      <c r="BM118" s="110"/>
      <c r="BN118" s="110"/>
      <c r="BO118" s="110"/>
      <c r="BP118" s="110"/>
      <c r="BQ118" s="110"/>
      <c r="BR118" s="110"/>
      <c r="BS118" s="110"/>
      <c r="BT118" s="110">
        <f>MATCH(BV118,MeasureCost!$B$82:$B$96,0)</f>
        <v>15</v>
      </c>
      <c r="BU118" s="110" t="e">
        <f>MATCH(BW118,MeasureCost!$B$82:$B$98,0)</f>
        <v>#N/A</v>
      </c>
      <c r="BV118" s="100" t="s">
        <v>478</v>
      </c>
      <c r="BW118" s="100" t="s">
        <v>413</v>
      </c>
    </row>
    <row r="119" spans="1:75">
      <c r="A119" s="112">
        <v>926</v>
      </c>
      <c r="B119" s="112" t="s">
        <v>794</v>
      </c>
      <c r="C119" s="112" t="s">
        <v>483</v>
      </c>
      <c r="D119" s="112" t="s">
        <v>534</v>
      </c>
      <c r="E119" s="112" t="s">
        <v>764</v>
      </c>
      <c r="F119" s="114">
        <v>42139</v>
      </c>
      <c r="G119" s="112" t="s">
        <v>794</v>
      </c>
      <c r="H119" s="112" t="s">
        <v>545</v>
      </c>
      <c r="I119" s="112" t="s">
        <v>404</v>
      </c>
      <c r="J119" s="112" t="s">
        <v>618</v>
      </c>
      <c r="K119" s="112">
        <v>0</v>
      </c>
      <c r="L119" s="112">
        <v>0</v>
      </c>
      <c r="M119" s="112" t="s">
        <v>618</v>
      </c>
      <c r="N119" s="110"/>
      <c r="O119" s="112" t="b">
        <v>0</v>
      </c>
      <c r="P119" s="110"/>
      <c r="Q119" s="112" t="b">
        <v>0</v>
      </c>
      <c r="R119" s="112" t="s">
        <v>116</v>
      </c>
      <c r="S119" s="112" t="s">
        <v>531</v>
      </c>
      <c r="T119" s="112" t="s">
        <v>537</v>
      </c>
      <c r="U119" s="112" t="s">
        <v>550</v>
      </c>
      <c r="V119" s="112" t="s">
        <v>558</v>
      </c>
      <c r="W119" s="112" t="s">
        <v>552</v>
      </c>
      <c r="X119" s="100" t="s">
        <v>478</v>
      </c>
      <c r="Y119" s="100"/>
      <c r="Z119" s="112" t="s">
        <v>765</v>
      </c>
      <c r="AA119" s="112" t="s">
        <v>787</v>
      </c>
      <c r="AB119" s="112" t="s">
        <v>416</v>
      </c>
      <c r="AC119" s="112" t="s">
        <v>483</v>
      </c>
      <c r="AD119" s="110"/>
      <c r="AE119" s="112"/>
      <c r="AF119" s="110"/>
      <c r="AG119" s="112" t="s">
        <v>544</v>
      </c>
      <c r="AH119" s="110"/>
      <c r="AI119" s="112" t="b">
        <v>0</v>
      </c>
      <c r="AJ119" s="112" t="b">
        <v>0</v>
      </c>
      <c r="AK119" s="110"/>
      <c r="AL119" s="112" t="s">
        <v>622</v>
      </c>
      <c r="AM119" s="112" t="s">
        <v>765</v>
      </c>
      <c r="AN119" s="110"/>
      <c r="AO119" s="112" t="s">
        <v>618</v>
      </c>
      <c r="AP119" s="114">
        <v>42370</v>
      </c>
      <c r="AQ119" s="110"/>
      <c r="AR119" s="112" t="s">
        <v>767</v>
      </c>
      <c r="AS119" s="110"/>
      <c r="AT119" s="110"/>
      <c r="AU119" s="110"/>
      <c r="AV119" s="110"/>
      <c r="AW119" s="112" t="s">
        <v>404</v>
      </c>
      <c r="AX119" s="110"/>
      <c r="AY119" s="138">
        <f>VLOOKUP(X119,MeasureCost!$B$6:$Z$97,24,FALSE)</f>
        <v>300</v>
      </c>
      <c r="AZ119" s="138">
        <f>VLOOKUP(X119,MeasureCost!$B$6:$Z$97,25,FALSE)</f>
        <v>4000</v>
      </c>
      <c r="BA119" s="138">
        <v>2000</v>
      </c>
      <c r="BC119" s="97">
        <f>VLOOKUP(X119,MeasureCost!$B$6:$W$97,22,FALSE)</f>
        <v>6869</v>
      </c>
      <c r="BD119" s="97">
        <f>VLOOKUP(X119,MeasureCost!$B$6:$W$97,20,FALSE)</f>
        <v>12.83</v>
      </c>
      <c r="BE119" s="97">
        <f t="shared" si="8"/>
        <v>32529</v>
      </c>
      <c r="BF119" s="97"/>
      <c r="BG119" s="97"/>
      <c r="BH119" s="97"/>
      <c r="BI119" s="82"/>
      <c r="BJ119" s="110"/>
      <c r="BK119" s="110" t="str">
        <f t="shared" si="9"/>
        <v>NG-HVAC-Blr-HW-gt2500kBtuh-94p0Et-CndReset</v>
      </c>
      <c r="BL119" s="110"/>
      <c r="BM119" s="110"/>
      <c r="BN119" s="110"/>
      <c r="BO119" s="110"/>
      <c r="BP119" s="110"/>
      <c r="BQ119" s="110"/>
      <c r="BR119" s="110"/>
      <c r="BS119" s="110"/>
      <c r="BT119" s="110">
        <f>MATCH(BV119,MeasureCost!$B$82:$B$96,0)</f>
        <v>15</v>
      </c>
      <c r="BU119" s="110" t="e">
        <f>MATCH(BW119,MeasureCost!$B$82:$B$98,0)</f>
        <v>#N/A</v>
      </c>
      <c r="BV119" s="100" t="s">
        <v>478</v>
      </c>
      <c r="BW119" s="100" t="s">
        <v>413</v>
      </c>
    </row>
    <row r="120" spans="1:75">
      <c r="A120" s="112">
        <v>927</v>
      </c>
      <c r="B120" s="112" t="s">
        <v>795</v>
      </c>
      <c r="C120" s="112" t="s">
        <v>485</v>
      </c>
      <c r="D120" s="112" t="s">
        <v>534</v>
      </c>
      <c r="E120" s="112" t="s">
        <v>764</v>
      </c>
      <c r="F120" s="114">
        <v>42139</v>
      </c>
      <c r="G120" s="112" t="s">
        <v>795</v>
      </c>
      <c r="H120" s="112" t="s">
        <v>545</v>
      </c>
      <c r="I120" s="112" t="s">
        <v>404</v>
      </c>
      <c r="J120" s="112" t="s">
        <v>618</v>
      </c>
      <c r="K120" s="112">
        <v>0</v>
      </c>
      <c r="L120" s="112">
        <v>0</v>
      </c>
      <c r="M120" s="112" t="s">
        <v>618</v>
      </c>
      <c r="N120" s="110"/>
      <c r="O120" s="112" t="b">
        <v>0</v>
      </c>
      <c r="P120" s="110"/>
      <c r="Q120" s="112" t="b">
        <v>0</v>
      </c>
      <c r="R120" s="112" t="s">
        <v>116</v>
      </c>
      <c r="S120" s="112" t="s">
        <v>531</v>
      </c>
      <c r="T120" s="112" t="s">
        <v>537</v>
      </c>
      <c r="U120" s="112" t="s">
        <v>550</v>
      </c>
      <c r="V120" s="112" t="s">
        <v>551</v>
      </c>
      <c r="W120" s="112" t="s">
        <v>559</v>
      </c>
      <c r="X120" s="100"/>
      <c r="Y120" s="100"/>
      <c r="Z120" s="112" t="s">
        <v>765</v>
      </c>
      <c r="AA120" s="112" t="s">
        <v>796</v>
      </c>
      <c r="AB120" s="112" t="s">
        <v>419</v>
      </c>
      <c r="AC120" s="112" t="s">
        <v>485</v>
      </c>
      <c r="AD120" s="110"/>
      <c r="AE120" s="110"/>
      <c r="AF120" s="110"/>
      <c r="AG120" s="112" t="s">
        <v>544</v>
      </c>
      <c r="AH120" s="110"/>
      <c r="AI120" s="112" t="b">
        <v>0</v>
      </c>
      <c r="AJ120" s="112" t="b">
        <v>0</v>
      </c>
      <c r="AK120" s="110"/>
      <c r="AL120" s="112" t="s">
        <v>622</v>
      </c>
      <c r="AM120" s="112" t="s">
        <v>765</v>
      </c>
      <c r="AN120" s="110"/>
      <c r="AO120" s="112" t="s">
        <v>618</v>
      </c>
      <c r="AP120" s="114">
        <v>42370</v>
      </c>
      <c r="AQ120" s="110"/>
      <c r="AR120" s="112" t="s">
        <v>767</v>
      </c>
      <c r="AS120" s="110"/>
      <c r="AT120" s="110"/>
      <c r="AU120" s="110"/>
      <c r="AV120" s="110"/>
      <c r="AW120" s="112" t="s">
        <v>404</v>
      </c>
      <c r="AX120" s="110"/>
      <c r="AY120" s="138"/>
      <c r="AZ120" s="138"/>
      <c r="BA120" s="138"/>
      <c r="BC120" s="97"/>
      <c r="BD120" s="97"/>
      <c r="BE120" s="97"/>
      <c r="BF120" s="97"/>
      <c r="BG120" s="97"/>
      <c r="BH120" s="97"/>
      <c r="BI120" s="82"/>
      <c r="BJ120" s="110"/>
      <c r="BK120" s="110"/>
      <c r="BL120" s="110"/>
      <c r="BM120" s="110"/>
      <c r="BN120" s="110"/>
      <c r="BO120" s="110"/>
      <c r="BP120" s="110"/>
      <c r="BQ120" s="110"/>
      <c r="BR120" s="110"/>
      <c r="BS120" s="110"/>
      <c r="BT120" s="110" t="e">
        <f>MATCH(BV120,MeasureCost!$B$82:$B$96,0)</f>
        <v>#N/A</v>
      </c>
      <c r="BU120" s="110" t="e">
        <f>MATCH(BW120,MeasureCost!$B$82:$B$98,0)</f>
        <v>#N/A</v>
      </c>
      <c r="BV120" s="100" t="s">
        <v>484</v>
      </c>
      <c r="BW120" s="100" t="s">
        <v>417</v>
      </c>
    </row>
    <row r="121" spans="1:75">
      <c r="A121" s="112">
        <v>928</v>
      </c>
      <c r="B121" s="112" t="s">
        <v>797</v>
      </c>
      <c r="C121" s="112" t="s">
        <v>487</v>
      </c>
      <c r="D121" s="112" t="s">
        <v>534</v>
      </c>
      <c r="E121" s="112" t="s">
        <v>764</v>
      </c>
      <c r="F121" s="114">
        <v>42139</v>
      </c>
      <c r="G121" s="112" t="s">
        <v>797</v>
      </c>
      <c r="H121" s="112" t="s">
        <v>545</v>
      </c>
      <c r="I121" s="112" t="s">
        <v>404</v>
      </c>
      <c r="J121" s="112" t="s">
        <v>618</v>
      </c>
      <c r="K121" s="112">
        <v>0</v>
      </c>
      <c r="L121" s="112">
        <v>0</v>
      </c>
      <c r="M121" s="112" t="s">
        <v>618</v>
      </c>
      <c r="N121" s="110"/>
      <c r="O121" s="112" t="b">
        <v>0</v>
      </c>
      <c r="P121" s="110"/>
      <c r="Q121" s="112" t="b">
        <v>0</v>
      </c>
      <c r="R121" s="112" t="s">
        <v>116</v>
      </c>
      <c r="S121" s="112" t="s">
        <v>531</v>
      </c>
      <c r="T121" s="112" t="s">
        <v>537</v>
      </c>
      <c r="U121" s="112" t="s">
        <v>550</v>
      </c>
      <c r="V121" s="112" t="s">
        <v>551</v>
      </c>
      <c r="W121" s="112" t="s">
        <v>559</v>
      </c>
      <c r="X121" s="100"/>
      <c r="Y121" s="100"/>
      <c r="Z121" s="112" t="s">
        <v>765</v>
      </c>
      <c r="AA121" s="112" t="s">
        <v>796</v>
      </c>
      <c r="AB121" s="112" t="s">
        <v>419</v>
      </c>
      <c r="AC121" s="112" t="s">
        <v>487</v>
      </c>
      <c r="AD121" s="110"/>
      <c r="AE121" s="110"/>
      <c r="AF121" s="110"/>
      <c r="AG121" s="112" t="s">
        <v>544</v>
      </c>
      <c r="AH121" s="110"/>
      <c r="AI121" s="112" t="b">
        <v>0</v>
      </c>
      <c r="AJ121" s="112" t="b">
        <v>0</v>
      </c>
      <c r="AK121" s="110"/>
      <c r="AL121" s="112" t="s">
        <v>622</v>
      </c>
      <c r="AM121" s="112" t="s">
        <v>765</v>
      </c>
      <c r="AN121" s="110"/>
      <c r="AO121" s="112" t="s">
        <v>618</v>
      </c>
      <c r="AP121" s="114">
        <v>42370</v>
      </c>
      <c r="AQ121" s="110"/>
      <c r="AR121" s="112" t="s">
        <v>767</v>
      </c>
      <c r="AS121" s="110"/>
      <c r="AT121" s="110"/>
      <c r="AU121" s="110"/>
      <c r="AV121" s="110"/>
      <c r="AW121" s="112" t="s">
        <v>404</v>
      </c>
      <c r="AX121" s="110"/>
      <c r="AY121" s="138"/>
      <c r="AZ121" s="138"/>
      <c r="BA121" s="138"/>
      <c r="BC121" s="97"/>
      <c r="BD121" s="97"/>
      <c r="BE121" s="97"/>
      <c r="BF121" s="97"/>
      <c r="BG121" s="97"/>
      <c r="BH121" s="97"/>
      <c r="BI121" s="82"/>
      <c r="BJ121" s="110"/>
      <c r="BK121" s="110"/>
      <c r="BL121" s="110"/>
      <c r="BM121" s="110"/>
      <c r="BN121" s="110"/>
      <c r="BO121" s="110"/>
      <c r="BP121" s="110"/>
      <c r="BQ121" s="110"/>
      <c r="BR121" s="110"/>
      <c r="BS121" s="110"/>
      <c r="BT121" s="110" t="e">
        <f>MATCH(BV121,MeasureCost!$B$82:$B$96,0)</f>
        <v>#N/A</v>
      </c>
      <c r="BU121" s="110" t="e">
        <f>MATCH(BW121,MeasureCost!$B$82:$B$98,0)</f>
        <v>#N/A</v>
      </c>
      <c r="BV121" s="100" t="s">
        <v>486</v>
      </c>
      <c r="BW121" s="100" t="s">
        <v>417</v>
      </c>
    </row>
    <row r="122" spans="1:75">
      <c r="A122" s="112">
        <v>929</v>
      </c>
      <c r="B122" s="112" t="s">
        <v>798</v>
      </c>
      <c r="C122" s="112" t="s">
        <v>489</v>
      </c>
      <c r="D122" s="112" t="s">
        <v>534</v>
      </c>
      <c r="E122" s="112" t="s">
        <v>764</v>
      </c>
      <c r="F122" s="114">
        <v>42139</v>
      </c>
      <c r="G122" s="112" t="s">
        <v>798</v>
      </c>
      <c r="H122" s="112" t="s">
        <v>545</v>
      </c>
      <c r="I122" s="112" t="s">
        <v>404</v>
      </c>
      <c r="J122" s="112" t="s">
        <v>618</v>
      </c>
      <c r="K122" s="112">
        <v>0</v>
      </c>
      <c r="L122" s="112">
        <v>0</v>
      </c>
      <c r="M122" s="112" t="s">
        <v>618</v>
      </c>
      <c r="N122" s="110"/>
      <c r="O122" s="112" t="b">
        <v>0</v>
      </c>
      <c r="P122" s="110"/>
      <c r="Q122" s="112" t="b">
        <v>0</v>
      </c>
      <c r="R122" s="112" t="s">
        <v>116</v>
      </c>
      <c r="S122" s="112" t="s">
        <v>531</v>
      </c>
      <c r="T122" s="112" t="s">
        <v>537</v>
      </c>
      <c r="U122" s="112" t="s">
        <v>550</v>
      </c>
      <c r="V122" s="112" t="s">
        <v>551</v>
      </c>
      <c r="W122" s="112" t="s">
        <v>552</v>
      </c>
      <c r="X122" s="100" t="s">
        <v>488</v>
      </c>
      <c r="Y122" s="100"/>
      <c r="Z122" s="112" t="s">
        <v>765</v>
      </c>
      <c r="AA122" s="112" t="s">
        <v>799</v>
      </c>
      <c r="AB122" s="112" t="s">
        <v>421</v>
      </c>
      <c r="AC122" s="112" t="s">
        <v>489</v>
      </c>
      <c r="AD122" s="110"/>
      <c r="AE122" s="112"/>
      <c r="AF122" s="110"/>
      <c r="AG122" s="112" t="s">
        <v>544</v>
      </c>
      <c r="AH122" s="110"/>
      <c r="AI122" s="112" t="b">
        <v>0</v>
      </c>
      <c r="AJ122" s="112" t="b">
        <v>0</v>
      </c>
      <c r="AK122" s="110"/>
      <c r="AL122" s="112" t="s">
        <v>622</v>
      </c>
      <c r="AM122" s="112" t="s">
        <v>765</v>
      </c>
      <c r="AN122" s="110"/>
      <c r="AO122" s="112" t="s">
        <v>618</v>
      </c>
      <c r="AP122" s="114">
        <v>42370</v>
      </c>
      <c r="AQ122" s="110"/>
      <c r="AR122" s="112" t="s">
        <v>767</v>
      </c>
      <c r="AS122" s="110"/>
      <c r="AT122" s="110"/>
      <c r="AU122" s="110"/>
      <c r="AV122" s="110"/>
      <c r="AW122" s="112" t="s">
        <v>404</v>
      </c>
      <c r="AX122" s="110"/>
      <c r="AY122" s="138">
        <f>VLOOKUP(X122,MeasureCost!$B$6:$Z$97,24,FALSE)</f>
        <v>250</v>
      </c>
      <c r="AZ122" s="138">
        <f>VLOOKUP(X122,MeasureCost!$B$6:$Z$97,25,FALSE)</f>
        <v>3190</v>
      </c>
      <c r="BA122" s="138">
        <v>1500</v>
      </c>
      <c r="BC122" s="97">
        <f>VLOOKUP(X122,MeasureCost!$B$6:$W$97,22,FALSE)</f>
        <v>2539</v>
      </c>
      <c r="BD122" s="97">
        <f>VLOOKUP(X122,MeasureCost!$B$6:$W$97,20,FALSE)</f>
        <v>15.97</v>
      </c>
      <c r="BE122" s="97">
        <f t="shared" si="8"/>
        <v>26494</v>
      </c>
      <c r="BF122" s="97"/>
      <c r="BG122" s="97"/>
      <c r="BH122" s="97"/>
      <c r="BI122" s="82"/>
      <c r="BJ122" s="110"/>
      <c r="BK122" s="110" t="str">
        <f t="shared" si="9"/>
        <v>NG-HVAC-Blr-Stm-300to2500kBtuh-81p0Et-Drft</v>
      </c>
      <c r="BL122" s="110"/>
      <c r="BM122" s="110"/>
      <c r="BN122" s="110"/>
      <c r="BO122" s="110"/>
      <c r="BP122" s="110"/>
      <c r="BQ122" s="110"/>
      <c r="BR122" s="110"/>
      <c r="BS122" s="110"/>
      <c r="BT122" s="110">
        <f>MATCH(BV122,MeasureCost!$B$82:$B$96,0)</f>
        <v>1</v>
      </c>
      <c r="BU122" s="110" t="e">
        <f>MATCH(BW122,MeasureCost!$B$82:$B$98,0)</f>
        <v>#N/A</v>
      </c>
      <c r="BV122" s="100" t="s">
        <v>488</v>
      </c>
      <c r="BW122" s="100" t="s">
        <v>420</v>
      </c>
    </row>
    <row r="123" spans="1:75">
      <c r="A123" s="112">
        <v>930</v>
      </c>
      <c r="B123" s="112" t="s">
        <v>800</v>
      </c>
      <c r="C123" s="112" t="s">
        <v>491</v>
      </c>
      <c r="D123" s="112" t="s">
        <v>534</v>
      </c>
      <c r="E123" s="112" t="s">
        <v>764</v>
      </c>
      <c r="F123" s="114">
        <v>42139</v>
      </c>
      <c r="G123" s="112" t="s">
        <v>800</v>
      </c>
      <c r="H123" s="112" t="s">
        <v>545</v>
      </c>
      <c r="I123" s="112" t="s">
        <v>404</v>
      </c>
      <c r="J123" s="112" t="s">
        <v>618</v>
      </c>
      <c r="K123" s="112">
        <v>0</v>
      </c>
      <c r="L123" s="112">
        <v>0</v>
      </c>
      <c r="M123" s="112" t="s">
        <v>618</v>
      </c>
      <c r="N123" s="110"/>
      <c r="O123" s="112" t="b">
        <v>0</v>
      </c>
      <c r="P123" s="110"/>
      <c r="Q123" s="112" t="b">
        <v>0</v>
      </c>
      <c r="R123" s="112" t="s">
        <v>116</v>
      </c>
      <c r="S123" s="112" t="s">
        <v>531</v>
      </c>
      <c r="T123" s="112" t="s">
        <v>537</v>
      </c>
      <c r="U123" s="112" t="s">
        <v>550</v>
      </c>
      <c r="V123" s="112" t="s">
        <v>551</v>
      </c>
      <c r="W123" s="112" t="s">
        <v>552</v>
      </c>
      <c r="X123" s="100" t="s">
        <v>490</v>
      </c>
      <c r="Y123" s="100"/>
      <c r="Z123" s="112" t="s">
        <v>765</v>
      </c>
      <c r="AA123" s="112" t="s">
        <v>799</v>
      </c>
      <c r="AB123" s="112" t="s">
        <v>421</v>
      </c>
      <c r="AC123" s="112" t="s">
        <v>491</v>
      </c>
      <c r="AD123" s="110"/>
      <c r="AE123" s="112"/>
      <c r="AF123" s="110"/>
      <c r="AG123" s="112" t="s">
        <v>544</v>
      </c>
      <c r="AH123" s="110"/>
      <c r="AI123" s="112" t="b">
        <v>0</v>
      </c>
      <c r="AJ123" s="112" t="b">
        <v>0</v>
      </c>
      <c r="AK123" s="110"/>
      <c r="AL123" s="112" t="s">
        <v>622</v>
      </c>
      <c r="AM123" s="112" t="s">
        <v>765</v>
      </c>
      <c r="AN123" s="110"/>
      <c r="AO123" s="112" t="s">
        <v>618</v>
      </c>
      <c r="AP123" s="114">
        <v>42370</v>
      </c>
      <c r="AQ123" s="110"/>
      <c r="AR123" s="112" t="s">
        <v>767</v>
      </c>
      <c r="AS123" s="110"/>
      <c r="AT123" s="110"/>
      <c r="AU123" s="110"/>
      <c r="AV123" s="110"/>
      <c r="AW123" s="112" t="s">
        <v>404</v>
      </c>
      <c r="AX123" s="110"/>
      <c r="AY123" s="138">
        <f>VLOOKUP(X123,MeasureCost!$B$6:$Z$97,24,FALSE)</f>
        <v>250</v>
      </c>
      <c r="AZ123" s="138">
        <f>VLOOKUP(X123,MeasureCost!$B$6:$Z$97,25,FALSE)</f>
        <v>3190</v>
      </c>
      <c r="BA123" s="138">
        <v>1500</v>
      </c>
      <c r="BC123" s="97">
        <f>VLOOKUP(X123,MeasureCost!$B$6:$W$97,22,FALSE)</f>
        <v>7544</v>
      </c>
      <c r="BD123" s="97">
        <f>VLOOKUP(X123,MeasureCost!$B$6:$W$97,20,FALSE)</f>
        <v>15.97</v>
      </c>
      <c r="BE123" s="97">
        <f t="shared" si="8"/>
        <v>31499</v>
      </c>
      <c r="BF123" s="97"/>
      <c r="BG123" s="97"/>
      <c r="BH123" s="97"/>
      <c r="BI123" s="82"/>
      <c r="BJ123" s="110"/>
      <c r="BK123" s="110" t="str">
        <f t="shared" si="9"/>
        <v>NG-HVAC-Blr-Stm-300to2500kBtuh-82p0Et-Drft</v>
      </c>
      <c r="BL123" s="110"/>
      <c r="BM123" s="110"/>
      <c r="BN123" s="110"/>
      <c r="BO123" s="110"/>
      <c r="BP123" s="110"/>
      <c r="BQ123" s="110"/>
      <c r="BR123" s="110"/>
      <c r="BS123" s="110"/>
      <c r="BT123" s="110">
        <f>MATCH(BV123,MeasureCost!$B$82:$B$96,0)</f>
        <v>2</v>
      </c>
      <c r="BU123" s="110" t="e">
        <f>MATCH(BW123,MeasureCost!$B$82:$B$98,0)</f>
        <v>#N/A</v>
      </c>
      <c r="BV123" s="100" t="s">
        <v>490</v>
      </c>
      <c r="BW123" s="100" t="s">
        <v>420</v>
      </c>
    </row>
    <row r="124" spans="1:75">
      <c r="A124" s="112">
        <v>931</v>
      </c>
      <c r="B124" s="112" t="s">
        <v>801</v>
      </c>
      <c r="C124" s="112" t="s">
        <v>493</v>
      </c>
      <c r="D124" s="112" t="s">
        <v>534</v>
      </c>
      <c r="E124" s="112" t="s">
        <v>764</v>
      </c>
      <c r="F124" s="114">
        <v>42139</v>
      </c>
      <c r="G124" s="112" t="s">
        <v>801</v>
      </c>
      <c r="H124" s="112" t="s">
        <v>545</v>
      </c>
      <c r="I124" s="112" t="s">
        <v>404</v>
      </c>
      <c r="J124" s="112" t="s">
        <v>618</v>
      </c>
      <c r="K124" s="112">
        <v>0</v>
      </c>
      <c r="L124" s="112">
        <v>0</v>
      </c>
      <c r="M124" s="112" t="s">
        <v>618</v>
      </c>
      <c r="N124" s="110"/>
      <c r="O124" s="112" t="b">
        <v>0</v>
      </c>
      <c r="P124" s="110"/>
      <c r="Q124" s="112" t="b">
        <v>0</v>
      </c>
      <c r="R124" s="112" t="s">
        <v>116</v>
      </c>
      <c r="S124" s="112" t="s">
        <v>531</v>
      </c>
      <c r="T124" s="112" t="s">
        <v>537</v>
      </c>
      <c r="U124" s="112" t="s">
        <v>550</v>
      </c>
      <c r="V124" s="112" t="s">
        <v>551</v>
      </c>
      <c r="W124" s="112" t="s">
        <v>552</v>
      </c>
      <c r="X124" s="100" t="s">
        <v>492</v>
      </c>
      <c r="Y124" s="100"/>
      <c r="Z124" s="112" t="s">
        <v>765</v>
      </c>
      <c r="AA124" s="112" t="s">
        <v>802</v>
      </c>
      <c r="AB124" s="112" t="s">
        <v>423</v>
      </c>
      <c r="AC124" s="112" t="s">
        <v>493</v>
      </c>
      <c r="AD124" s="110"/>
      <c r="AE124" s="112"/>
      <c r="AF124" s="110"/>
      <c r="AG124" s="112" t="s">
        <v>544</v>
      </c>
      <c r="AH124" s="110"/>
      <c r="AI124" s="112" t="b">
        <v>0</v>
      </c>
      <c r="AJ124" s="112" t="b">
        <v>0</v>
      </c>
      <c r="AK124" s="110"/>
      <c r="AL124" s="112" t="s">
        <v>622</v>
      </c>
      <c r="AM124" s="112" t="s">
        <v>765</v>
      </c>
      <c r="AN124" s="110"/>
      <c r="AO124" s="112" t="s">
        <v>618</v>
      </c>
      <c r="AP124" s="114">
        <v>42370</v>
      </c>
      <c r="AQ124" s="110"/>
      <c r="AR124" s="112" t="s">
        <v>767</v>
      </c>
      <c r="AS124" s="110"/>
      <c r="AT124" s="110"/>
      <c r="AU124" s="110"/>
      <c r="AV124" s="110"/>
      <c r="AW124" s="112" t="s">
        <v>404</v>
      </c>
      <c r="AX124" s="110"/>
      <c r="AY124" s="138">
        <f>VLOOKUP(X124,MeasureCost!$B$6:$Z$97,24,FALSE)</f>
        <v>250</v>
      </c>
      <c r="AZ124" s="138">
        <f>VLOOKUP(X124,MeasureCost!$B$6:$Z$97,25,FALSE)</f>
        <v>3190</v>
      </c>
      <c r="BA124" s="138">
        <v>1500</v>
      </c>
      <c r="BC124" s="97">
        <f>VLOOKUP(X124,MeasureCost!$B$6:$W$97,22,FALSE)</f>
        <v>-2466</v>
      </c>
      <c r="BD124" s="97">
        <f>VLOOKUP(X124,MeasureCost!$B$6:$W$97,20,FALSE)</f>
        <v>15.97</v>
      </c>
      <c r="BE124" s="97">
        <f t="shared" si="8"/>
        <v>21489</v>
      </c>
      <c r="BF124" s="97"/>
      <c r="BG124" s="97"/>
      <c r="BH124" s="97"/>
      <c r="BI124" s="82"/>
      <c r="BJ124" s="110"/>
      <c r="BK124" s="110" t="str">
        <f t="shared" si="9"/>
        <v>NG-HVAC-Blr-Stm-gt2500kBtuh-80p0Et-Drft</v>
      </c>
      <c r="BL124" s="110"/>
      <c r="BM124" s="110"/>
      <c r="BN124" s="110"/>
      <c r="BO124" s="110"/>
      <c r="BP124" s="110"/>
      <c r="BQ124" s="110"/>
      <c r="BR124" s="110"/>
      <c r="BS124" s="110"/>
      <c r="BT124" s="110">
        <f>MATCH(BV124,MeasureCost!$B$82:$B$96,0)</f>
        <v>5</v>
      </c>
      <c r="BU124" s="110" t="e">
        <f>MATCH(BW124,MeasureCost!$B$82:$B$98,0)</f>
        <v>#N/A</v>
      </c>
      <c r="BV124" s="100" t="s">
        <v>492</v>
      </c>
      <c r="BW124" s="100" t="s">
        <v>422</v>
      </c>
    </row>
    <row r="125" spans="1:75">
      <c r="A125" s="112">
        <v>932</v>
      </c>
      <c r="B125" s="112" t="s">
        <v>803</v>
      </c>
      <c r="C125" s="112" t="s">
        <v>495</v>
      </c>
      <c r="D125" s="112" t="s">
        <v>534</v>
      </c>
      <c r="E125" s="112" t="s">
        <v>764</v>
      </c>
      <c r="F125" s="114">
        <v>42139</v>
      </c>
      <c r="G125" s="112" t="s">
        <v>803</v>
      </c>
      <c r="H125" s="112" t="s">
        <v>545</v>
      </c>
      <c r="I125" s="112" t="s">
        <v>404</v>
      </c>
      <c r="J125" s="112" t="s">
        <v>618</v>
      </c>
      <c r="K125" s="112">
        <v>0</v>
      </c>
      <c r="L125" s="112">
        <v>0</v>
      </c>
      <c r="M125" s="112" t="s">
        <v>618</v>
      </c>
      <c r="N125" s="110"/>
      <c r="O125" s="112" t="b">
        <v>0</v>
      </c>
      <c r="P125" s="110"/>
      <c r="Q125" s="112" t="b">
        <v>0</v>
      </c>
      <c r="R125" s="112" t="s">
        <v>116</v>
      </c>
      <c r="S125" s="112" t="s">
        <v>531</v>
      </c>
      <c r="T125" s="112" t="s">
        <v>537</v>
      </c>
      <c r="U125" s="112" t="s">
        <v>550</v>
      </c>
      <c r="V125" s="112" t="s">
        <v>551</v>
      </c>
      <c r="W125" s="112" t="s">
        <v>552</v>
      </c>
      <c r="X125" s="100" t="s">
        <v>494</v>
      </c>
      <c r="Y125" s="100"/>
      <c r="Z125" s="112" t="s">
        <v>765</v>
      </c>
      <c r="AA125" s="112" t="s">
        <v>802</v>
      </c>
      <c r="AB125" s="112" t="s">
        <v>423</v>
      </c>
      <c r="AC125" s="112" t="s">
        <v>495</v>
      </c>
      <c r="AD125" s="110"/>
      <c r="AE125" s="112"/>
      <c r="AF125" s="110"/>
      <c r="AG125" s="112" t="s">
        <v>544</v>
      </c>
      <c r="AH125" s="110"/>
      <c r="AI125" s="112" t="b">
        <v>0</v>
      </c>
      <c r="AJ125" s="112" t="b">
        <v>0</v>
      </c>
      <c r="AK125" s="110"/>
      <c r="AL125" s="112" t="s">
        <v>622</v>
      </c>
      <c r="AM125" s="112" t="s">
        <v>765</v>
      </c>
      <c r="AN125" s="110"/>
      <c r="AO125" s="112" t="s">
        <v>618</v>
      </c>
      <c r="AP125" s="114">
        <v>42370</v>
      </c>
      <c r="AQ125" s="110"/>
      <c r="AR125" s="112" t="s">
        <v>767</v>
      </c>
      <c r="AS125" s="110"/>
      <c r="AT125" s="110"/>
      <c r="AU125" s="110"/>
      <c r="AV125" s="110"/>
      <c r="AW125" s="112" t="s">
        <v>404</v>
      </c>
      <c r="AX125" s="110"/>
      <c r="AY125" s="138">
        <f>VLOOKUP(X125,MeasureCost!$B$6:$Z$97,24,FALSE)</f>
        <v>250</v>
      </c>
      <c r="AZ125" s="138">
        <f>VLOOKUP(X125,MeasureCost!$B$6:$Z$97,25,FALSE)</f>
        <v>3190</v>
      </c>
      <c r="BA125" s="138">
        <v>1500</v>
      </c>
      <c r="BC125" s="97">
        <f>VLOOKUP(X125,MeasureCost!$B$6:$W$97,22,FALSE)</f>
        <v>2539</v>
      </c>
      <c r="BD125" s="97">
        <f>VLOOKUP(X125,MeasureCost!$B$6:$W$97,20,FALSE)</f>
        <v>15.97</v>
      </c>
      <c r="BE125" s="97">
        <f t="shared" si="8"/>
        <v>26494</v>
      </c>
      <c r="BF125" s="97"/>
      <c r="BG125" s="97"/>
      <c r="BH125" s="97"/>
      <c r="BI125" s="82"/>
      <c r="BJ125" s="110"/>
      <c r="BK125" s="110" t="str">
        <f t="shared" si="9"/>
        <v>NG-HVAC-Blr-Stm-gt2500kBtuh-81p0Et-Drft</v>
      </c>
      <c r="BL125" s="110"/>
      <c r="BM125" s="110"/>
      <c r="BN125" s="110"/>
      <c r="BO125" s="110"/>
      <c r="BP125" s="110"/>
      <c r="BQ125" s="110"/>
      <c r="BR125" s="110"/>
      <c r="BS125" s="110"/>
      <c r="BT125" s="110">
        <f>MATCH(BV125,MeasureCost!$B$82:$B$96,0)</f>
        <v>3</v>
      </c>
      <c r="BU125" s="110" t="e">
        <f>MATCH(BW125,MeasureCost!$B$82:$B$98,0)</f>
        <v>#N/A</v>
      </c>
      <c r="BV125" s="100" t="s">
        <v>494</v>
      </c>
      <c r="BW125" s="100" t="s">
        <v>422</v>
      </c>
    </row>
    <row r="126" spans="1:75">
      <c r="A126" s="112">
        <v>933</v>
      </c>
      <c r="B126" s="112" t="s">
        <v>804</v>
      </c>
      <c r="C126" s="112" t="s">
        <v>497</v>
      </c>
      <c r="D126" s="112" t="s">
        <v>534</v>
      </c>
      <c r="E126" s="112" t="s">
        <v>764</v>
      </c>
      <c r="F126" s="114">
        <v>42139</v>
      </c>
      <c r="G126" s="112" t="s">
        <v>804</v>
      </c>
      <c r="H126" s="112" t="s">
        <v>545</v>
      </c>
      <c r="I126" s="112" t="s">
        <v>404</v>
      </c>
      <c r="J126" s="112" t="s">
        <v>618</v>
      </c>
      <c r="K126" s="112">
        <v>0</v>
      </c>
      <c r="L126" s="112">
        <v>0</v>
      </c>
      <c r="M126" s="112" t="s">
        <v>618</v>
      </c>
      <c r="N126" s="110"/>
      <c r="O126" s="112" t="b">
        <v>0</v>
      </c>
      <c r="P126" s="110"/>
      <c r="Q126" s="112" t="b">
        <v>0</v>
      </c>
      <c r="R126" s="112" t="s">
        <v>116</v>
      </c>
      <c r="S126" s="112" t="s">
        <v>531</v>
      </c>
      <c r="T126" s="112" t="s">
        <v>537</v>
      </c>
      <c r="U126" s="112" t="s">
        <v>550</v>
      </c>
      <c r="V126" s="112" t="s">
        <v>551</v>
      </c>
      <c r="W126" s="112" t="s">
        <v>552</v>
      </c>
      <c r="X126" s="100" t="s">
        <v>496</v>
      </c>
      <c r="Y126" s="100"/>
      <c r="Z126" s="112" t="s">
        <v>765</v>
      </c>
      <c r="AA126" s="112" t="s">
        <v>802</v>
      </c>
      <c r="AB126" s="112" t="s">
        <v>423</v>
      </c>
      <c r="AC126" s="112" t="s">
        <v>497</v>
      </c>
      <c r="AD126" s="110"/>
      <c r="AE126" s="112"/>
      <c r="AF126" s="110"/>
      <c r="AG126" s="112" t="s">
        <v>544</v>
      </c>
      <c r="AH126" s="110"/>
      <c r="AI126" s="112" t="b">
        <v>0</v>
      </c>
      <c r="AJ126" s="112" t="b">
        <v>0</v>
      </c>
      <c r="AK126" s="110"/>
      <c r="AL126" s="112" t="s">
        <v>622</v>
      </c>
      <c r="AM126" s="112" t="s">
        <v>765</v>
      </c>
      <c r="AN126" s="110"/>
      <c r="AO126" s="112" t="s">
        <v>618</v>
      </c>
      <c r="AP126" s="114">
        <v>42370</v>
      </c>
      <c r="AQ126" s="110"/>
      <c r="AR126" s="112" t="s">
        <v>767</v>
      </c>
      <c r="AS126" s="110"/>
      <c r="AT126" s="110"/>
      <c r="AU126" s="110"/>
      <c r="AV126" s="110"/>
      <c r="AW126" s="112" t="s">
        <v>404</v>
      </c>
      <c r="AX126" s="110"/>
      <c r="AY126" s="138">
        <f>VLOOKUP(X126,MeasureCost!$B$6:$Z$97,24,FALSE)</f>
        <v>250</v>
      </c>
      <c r="AZ126" s="138">
        <f>VLOOKUP(X126,MeasureCost!$B$6:$Z$97,25,FALSE)</f>
        <v>3190</v>
      </c>
      <c r="BA126" s="138">
        <v>1500</v>
      </c>
      <c r="BC126" s="97">
        <f>VLOOKUP(X126,MeasureCost!$B$6:$W$97,22,FALSE)</f>
        <v>7544</v>
      </c>
      <c r="BD126" s="97">
        <f>VLOOKUP(X126,MeasureCost!$B$6:$W$97,20,FALSE)</f>
        <v>15.97</v>
      </c>
      <c r="BE126" s="97">
        <f t="shared" si="8"/>
        <v>31499</v>
      </c>
      <c r="BF126" s="97"/>
      <c r="BG126" s="97"/>
      <c r="BH126" s="97"/>
      <c r="BI126" s="82"/>
      <c r="BJ126" s="110"/>
      <c r="BK126" s="110" t="str">
        <f t="shared" si="9"/>
        <v>NG-HVAC-Blr-Stm-gt2500kBtuh-82p0Et-Drft</v>
      </c>
      <c r="BL126" s="110"/>
      <c r="BM126" s="110"/>
      <c r="BN126" s="110"/>
      <c r="BO126" s="110"/>
      <c r="BP126" s="110"/>
      <c r="BQ126" s="110"/>
      <c r="BR126" s="110"/>
      <c r="BS126" s="110"/>
      <c r="BT126" s="110">
        <f>MATCH(BV126,MeasureCost!$B$82:$B$96,0)</f>
        <v>4</v>
      </c>
      <c r="BU126" s="110" t="e">
        <f>MATCH(BW126,MeasureCost!$B$82:$B$98,0)</f>
        <v>#N/A</v>
      </c>
      <c r="BV126" s="100" t="s">
        <v>496</v>
      </c>
      <c r="BW126" s="100" t="s">
        <v>422</v>
      </c>
    </row>
    <row r="127" spans="1:75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BC127" s="110"/>
      <c r="BF127" s="110"/>
      <c r="BG127" s="110"/>
      <c r="BI127" s="110"/>
      <c r="BJ127" s="110"/>
      <c r="BK127" s="110"/>
      <c r="BL127" s="110"/>
      <c r="BM127" s="110"/>
      <c r="BN127" s="110"/>
      <c r="BO127" s="110"/>
      <c r="BP127" s="110"/>
      <c r="BQ127" s="110"/>
      <c r="BR127" s="110"/>
      <c r="BS127" s="110"/>
      <c r="BT127" s="110"/>
      <c r="BU127" s="110"/>
      <c r="BV127" s="110"/>
      <c r="BW127" s="110"/>
    </row>
  </sheetData>
  <autoFilter ref="A7:AW92" xr:uid="{00000000-0009-0000-0000-000005000000}">
    <sortState xmlns:xlrd2="http://schemas.microsoft.com/office/spreadsheetml/2017/richdata2" ref="A8:AW125">
      <sortCondition ref="A7:A92"/>
    </sortState>
  </autoFilter>
  <mergeCells count="3">
    <mergeCell ref="BC5:BJ5"/>
    <mergeCell ref="BC6:BE6"/>
    <mergeCell ref="BF6:B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3"/>
  <sheetViews>
    <sheetView workbookViewId="0">
      <selection activeCell="A34" sqref="A34"/>
    </sheetView>
  </sheetViews>
  <sheetFormatPr defaultRowHeight="15"/>
  <cols>
    <col min="1" max="1" width="11.28515625" bestFit="1" customWidth="1"/>
    <col min="2" max="2" width="8.42578125" bestFit="1" customWidth="1"/>
    <col min="3" max="3" width="9.85546875" bestFit="1" customWidth="1"/>
    <col min="4" max="4" width="18.42578125" bestFit="1" customWidth="1"/>
    <col min="5" max="5" width="25.140625" bestFit="1" customWidth="1"/>
    <col min="6" max="6" width="9.5703125" bestFit="1" customWidth="1"/>
    <col min="7" max="7" width="10.42578125" bestFit="1" customWidth="1"/>
    <col min="8" max="8" width="7.28515625" bestFit="1" customWidth="1"/>
    <col min="9" max="9" width="7.5703125" bestFit="1" customWidth="1"/>
    <col min="10" max="10" width="15.42578125" bestFit="1" customWidth="1"/>
  </cols>
  <sheetData>
    <row r="1" spans="1:11">
      <c r="A1" s="3" t="s">
        <v>805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3" spans="1:11" ht="15.75" thickBot="1">
      <c r="A3" s="12" t="s">
        <v>806</v>
      </c>
      <c r="B3" s="12" t="s">
        <v>807</v>
      </c>
      <c r="C3" s="12" t="s">
        <v>808</v>
      </c>
      <c r="D3" s="12" t="s">
        <v>809</v>
      </c>
      <c r="E3" s="12" t="s">
        <v>810</v>
      </c>
      <c r="F3" s="12" t="s">
        <v>154</v>
      </c>
      <c r="G3" s="12" t="s">
        <v>811</v>
      </c>
      <c r="H3" s="12" t="s">
        <v>812</v>
      </c>
      <c r="I3" s="12" t="s">
        <v>813</v>
      </c>
      <c r="J3" s="12" t="s">
        <v>814</v>
      </c>
      <c r="K3" s="12" t="s">
        <v>815</v>
      </c>
    </row>
    <row r="4" spans="1:11">
      <c r="A4" s="110">
        <v>2</v>
      </c>
      <c r="B4" s="110">
        <v>210</v>
      </c>
      <c r="C4" s="110">
        <v>1</v>
      </c>
      <c r="D4" s="110" t="s">
        <v>136</v>
      </c>
      <c r="E4" s="110" t="s">
        <v>816</v>
      </c>
      <c r="F4" s="110" t="s">
        <v>817</v>
      </c>
      <c r="G4" s="110" t="s">
        <v>818</v>
      </c>
      <c r="H4" s="110">
        <v>7</v>
      </c>
      <c r="I4" s="110">
        <v>30</v>
      </c>
      <c r="J4" s="110"/>
      <c r="K4" s="110" t="b">
        <v>1</v>
      </c>
    </row>
    <row r="5" spans="1:11">
      <c r="A5" s="110">
        <v>2</v>
      </c>
      <c r="B5" s="110">
        <v>211</v>
      </c>
      <c r="C5" s="110">
        <v>2</v>
      </c>
      <c r="D5" s="110" t="s">
        <v>137</v>
      </c>
      <c r="E5" s="110" t="s">
        <v>819</v>
      </c>
      <c r="F5" s="110" t="s">
        <v>817</v>
      </c>
      <c r="G5" s="110" t="s">
        <v>818</v>
      </c>
      <c r="H5" s="110">
        <v>7</v>
      </c>
      <c r="I5" s="110">
        <v>30</v>
      </c>
      <c r="J5" s="110"/>
      <c r="K5" s="110" t="b">
        <v>1</v>
      </c>
    </row>
    <row r="6" spans="1:11">
      <c r="A6" s="110">
        <v>2</v>
      </c>
      <c r="B6" s="110">
        <v>51</v>
      </c>
      <c r="C6" s="110">
        <v>3</v>
      </c>
      <c r="D6" s="110" t="s">
        <v>117</v>
      </c>
      <c r="E6" s="110" t="s">
        <v>117</v>
      </c>
      <c r="F6" s="110" t="s">
        <v>820</v>
      </c>
      <c r="G6" s="110" t="s">
        <v>818</v>
      </c>
      <c r="H6" s="110">
        <v>7</v>
      </c>
      <c r="I6" s="110">
        <v>30</v>
      </c>
      <c r="J6" s="110"/>
      <c r="K6" s="110" t="b">
        <v>1</v>
      </c>
    </row>
    <row r="7" spans="1:11">
      <c r="A7" s="110">
        <v>2</v>
      </c>
      <c r="B7" s="110">
        <v>212</v>
      </c>
      <c r="C7" s="110">
        <v>4</v>
      </c>
      <c r="D7" s="110" t="s">
        <v>138</v>
      </c>
      <c r="E7" s="110" t="s">
        <v>821</v>
      </c>
      <c r="F7" s="110" t="s">
        <v>822</v>
      </c>
      <c r="G7" s="110" t="s">
        <v>818</v>
      </c>
      <c r="H7" s="110">
        <v>7</v>
      </c>
      <c r="I7" s="110">
        <v>760</v>
      </c>
      <c r="J7" s="110"/>
      <c r="K7" s="110" t="b">
        <v>1</v>
      </c>
    </row>
    <row r="8" spans="1:11">
      <c r="A8" s="110">
        <v>2</v>
      </c>
      <c r="B8" s="110">
        <v>213</v>
      </c>
      <c r="C8" s="110">
        <v>5</v>
      </c>
      <c r="D8" s="110" t="s">
        <v>139</v>
      </c>
      <c r="E8" s="110" t="s">
        <v>823</v>
      </c>
      <c r="F8" s="110" t="s">
        <v>822</v>
      </c>
      <c r="G8" s="110" t="s">
        <v>818</v>
      </c>
      <c r="H8" s="110">
        <v>7</v>
      </c>
      <c r="I8" s="110">
        <v>760</v>
      </c>
      <c r="J8" s="110"/>
      <c r="K8" s="110" t="b">
        <v>0</v>
      </c>
    </row>
    <row r="9" spans="1:11">
      <c r="A9" s="110">
        <v>2</v>
      </c>
      <c r="B9" s="110">
        <v>26</v>
      </c>
      <c r="C9" s="110">
        <v>6</v>
      </c>
      <c r="D9" s="110" t="s">
        <v>140</v>
      </c>
      <c r="E9" s="110" t="s">
        <v>824</v>
      </c>
      <c r="F9" s="110"/>
      <c r="G9" s="110" t="s">
        <v>814</v>
      </c>
      <c r="H9" s="110"/>
      <c r="I9" s="110"/>
      <c r="J9" s="110" t="s">
        <v>824</v>
      </c>
      <c r="K9" s="110" t="b">
        <v>1</v>
      </c>
    </row>
    <row r="10" spans="1:11">
      <c r="A10" s="110">
        <v>2</v>
      </c>
      <c r="B10" s="110">
        <v>214</v>
      </c>
      <c r="C10" s="110">
        <v>7</v>
      </c>
      <c r="D10" s="110" t="s">
        <v>141</v>
      </c>
      <c r="E10" s="110" t="s">
        <v>825</v>
      </c>
      <c r="F10" s="110" t="s">
        <v>826</v>
      </c>
      <c r="G10" s="110" t="s">
        <v>827</v>
      </c>
      <c r="H10" s="110"/>
      <c r="I10" s="110"/>
      <c r="J10" s="110"/>
      <c r="K10" s="110" t="b">
        <v>0</v>
      </c>
    </row>
    <row r="11" spans="1:11">
      <c r="A11" s="110">
        <v>2</v>
      </c>
      <c r="B11" s="110">
        <v>215</v>
      </c>
      <c r="C11" s="110">
        <v>8</v>
      </c>
      <c r="D11" s="110" t="s">
        <v>142</v>
      </c>
      <c r="E11" s="110" t="s">
        <v>828</v>
      </c>
      <c r="F11" s="110" t="s">
        <v>826</v>
      </c>
      <c r="G11" s="110" t="s">
        <v>818</v>
      </c>
      <c r="H11" s="110">
        <v>0</v>
      </c>
      <c r="I11" s="110">
        <v>1</v>
      </c>
      <c r="J11" s="110"/>
      <c r="K11" s="110" t="b">
        <v>0</v>
      </c>
    </row>
    <row r="12" spans="1:11">
      <c r="A12" s="110">
        <v>2</v>
      </c>
      <c r="B12" s="110">
        <v>216</v>
      </c>
      <c r="C12" s="110">
        <v>9</v>
      </c>
      <c r="D12" s="110" t="s">
        <v>143</v>
      </c>
      <c r="E12" s="110" t="s">
        <v>829</v>
      </c>
      <c r="F12" s="110" t="s">
        <v>830</v>
      </c>
      <c r="G12" s="110" t="s">
        <v>818</v>
      </c>
      <c r="H12" s="110">
        <v>100</v>
      </c>
      <c r="I12" s="110">
        <v>500</v>
      </c>
      <c r="J12" s="110"/>
      <c r="K12" s="110" t="b">
        <v>0</v>
      </c>
    </row>
    <row r="13" spans="1:11">
      <c r="A13" s="110">
        <v>2</v>
      </c>
      <c r="B13" s="110">
        <v>217</v>
      </c>
      <c r="C13" s="110">
        <v>10</v>
      </c>
      <c r="D13" s="110" t="s">
        <v>144</v>
      </c>
      <c r="E13" s="110" t="s">
        <v>831</v>
      </c>
      <c r="F13" s="110" t="s">
        <v>832</v>
      </c>
      <c r="G13" s="110" t="s">
        <v>818</v>
      </c>
      <c r="H13" s="110">
        <v>0</v>
      </c>
      <c r="I13" s="110">
        <v>1</v>
      </c>
      <c r="J13" s="110"/>
      <c r="K13" s="110" t="b">
        <v>1</v>
      </c>
    </row>
    <row r="14" spans="1:11">
      <c r="A14" s="110">
        <v>2</v>
      </c>
      <c r="B14" s="110">
        <v>218</v>
      </c>
      <c r="C14" s="110">
        <v>11</v>
      </c>
      <c r="D14" s="110" t="s">
        <v>145</v>
      </c>
      <c r="E14" s="110" t="s">
        <v>833</v>
      </c>
      <c r="F14" s="110" t="s">
        <v>826</v>
      </c>
      <c r="G14" s="110" t="s">
        <v>818</v>
      </c>
      <c r="H14" s="110">
        <v>0</v>
      </c>
      <c r="I14" s="110">
        <v>100000</v>
      </c>
      <c r="J14" s="110"/>
      <c r="K14" s="110" t="b">
        <v>0</v>
      </c>
    </row>
    <row r="15" spans="1:11">
      <c r="A15" s="110">
        <v>2</v>
      </c>
      <c r="B15" s="110">
        <v>219</v>
      </c>
      <c r="C15" s="110">
        <v>12</v>
      </c>
      <c r="D15" s="110" t="s">
        <v>146</v>
      </c>
      <c r="E15" s="110" t="s">
        <v>834</v>
      </c>
      <c r="F15" s="110" t="s">
        <v>835</v>
      </c>
      <c r="G15" s="110" t="s">
        <v>818</v>
      </c>
      <c r="H15" s="110">
        <v>0</v>
      </c>
      <c r="I15" s="110">
        <v>120</v>
      </c>
      <c r="J15" s="110"/>
      <c r="K15" s="110" t="b">
        <v>0</v>
      </c>
    </row>
    <row r="16" spans="1:11">
      <c r="A16" s="110">
        <v>2</v>
      </c>
      <c r="B16" s="110">
        <v>221</v>
      </c>
      <c r="C16" s="110">
        <v>14</v>
      </c>
      <c r="D16" s="110" t="s">
        <v>147</v>
      </c>
      <c r="E16" s="110" t="s">
        <v>836</v>
      </c>
      <c r="F16" s="110"/>
      <c r="G16" s="110" t="s">
        <v>814</v>
      </c>
      <c r="H16" s="110"/>
      <c r="I16" s="110"/>
      <c r="J16" s="110" t="s">
        <v>836</v>
      </c>
      <c r="K16" s="110" t="b">
        <v>1</v>
      </c>
    </row>
    <row r="17" spans="1:11" s="2" customFormat="1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</row>
    <row r="18" spans="1:11" s="2" customFormat="1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</row>
    <row r="19" spans="1:11">
      <c r="A19" s="3" t="s">
        <v>837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</row>
    <row r="20" spans="1:11" ht="15.75" thickBot="1">
      <c r="A20" s="12" t="s">
        <v>806</v>
      </c>
      <c r="B20" s="12" t="s">
        <v>807</v>
      </c>
      <c r="C20" s="12" t="s">
        <v>808</v>
      </c>
      <c r="D20" s="12" t="s">
        <v>809</v>
      </c>
      <c r="E20" s="12" t="s">
        <v>810</v>
      </c>
      <c r="F20" s="12" t="s">
        <v>154</v>
      </c>
      <c r="G20" s="12" t="s">
        <v>811</v>
      </c>
      <c r="H20" s="12" t="s">
        <v>812</v>
      </c>
      <c r="I20" s="12" t="s">
        <v>813</v>
      </c>
      <c r="J20" s="12" t="s">
        <v>814</v>
      </c>
      <c r="K20" s="12" t="s">
        <v>815</v>
      </c>
    </row>
    <row r="21" spans="1:11">
      <c r="A21" s="110">
        <v>1</v>
      </c>
      <c r="B21" s="110">
        <v>1087</v>
      </c>
      <c r="C21" s="110">
        <v>1</v>
      </c>
      <c r="D21" s="110" t="s">
        <v>101</v>
      </c>
      <c r="E21" s="110" t="s">
        <v>101</v>
      </c>
      <c r="F21" s="110"/>
      <c r="G21" s="110" t="s">
        <v>814</v>
      </c>
      <c r="H21" s="110"/>
      <c r="I21" s="110"/>
      <c r="J21" s="110" t="s">
        <v>101</v>
      </c>
      <c r="K21" s="110" t="b">
        <v>1</v>
      </c>
    </row>
    <row r="22" spans="1:11">
      <c r="A22" s="110">
        <v>1</v>
      </c>
      <c r="B22" s="110">
        <v>188</v>
      </c>
      <c r="C22" s="110">
        <v>2</v>
      </c>
      <c r="D22" s="110" t="s">
        <v>115</v>
      </c>
      <c r="E22" s="110" t="s">
        <v>115</v>
      </c>
      <c r="F22" s="110" t="s">
        <v>820</v>
      </c>
      <c r="G22" s="110" t="s">
        <v>818</v>
      </c>
      <c r="H22" s="110">
        <v>7</v>
      </c>
      <c r="I22" s="110">
        <v>30</v>
      </c>
      <c r="J22" s="110"/>
      <c r="K22" s="110" t="b">
        <v>1</v>
      </c>
    </row>
    <row r="23" spans="1:11">
      <c r="A23" s="110">
        <v>1</v>
      </c>
      <c r="B23" s="110">
        <v>51</v>
      </c>
      <c r="C23" s="110">
        <v>3</v>
      </c>
      <c r="D23" s="110" t="s">
        <v>117</v>
      </c>
      <c r="E23" s="110" t="s">
        <v>117</v>
      </c>
      <c r="F23" s="110" t="s">
        <v>820</v>
      </c>
      <c r="G23" s="110" t="s">
        <v>818</v>
      </c>
      <c r="H23" s="110">
        <v>7</v>
      </c>
      <c r="I23" s="110">
        <v>30</v>
      </c>
      <c r="J23" s="110"/>
      <c r="K23" s="110" t="b">
        <v>1</v>
      </c>
    </row>
    <row r="24" spans="1:11">
      <c r="A24" s="110">
        <v>1</v>
      </c>
      <c r="B24" s="110">
        <v>212</v>
      </c>
      <c r="C24" s="110">
        <v>4</v>
      </c>
      <c r="D24" s="110" t="s">
        <v>138</v>
      </c>
      <c r="E24" s="110" t="s">
        <v>821</v>
      </c>
      <c r="F24" s="110" t="s">
        <v>822</v>
      </c>
      <c r="G24" s="110" t="s">
        <v>818</v>
      </c>
      <c r="H24" s="110">
        <v>7</v>
      </c>
      <c r="I24" s="110">
        <v>760</v>
      </c>
      <c r="J24" s="110"/>
      <c r="K24" s="110" t="b">
        <v>1</v>
      </c>
    </row>
    <row r="25" spans="1:11">
      <c r="A25" s="110">
        <v>1</v>
      </c>
      <c r="B25" s="110">
        <v>213</v>
      </c>
      <c r="C25" s="110">
        <v>5</v>
      </c>
      <c r="D25" s="110" t="s">
        <v>139</v>
      </c>
      <c r="E25" s="110" t="s">
        <v>823</v>
      </c>
      <c r="F25" s="110" t="s">
        <v>822</v>
      </c>
      <c r="G25" s="110" t="s">
        <v>818</v>
      </c>
      <c r="H25" s="110">
        <v>7</v>
      </c>
      <c r="I25" s="110">
        <v>760</v>
      </c>
      <c r="J25" s="110"/>
      <c r="K25" s="110" t="b">
        <v>0</v>
      </c>
    </row>
    <row r="26" spans="1:11">
      <c r="A26" s="110">
        <v>1</v>
      </c>
      <c r="B26" s="110">
        <v>26</v>
      </c>
      <c r="C26" s="110">
        <v>6</v>
      </c>
      <c r="D26" s="110" t="s">
        <v>140</v>
      </c>
      <c r="E26" s="110" t="s">
        <v>824</v>
      </c>
      <c r="F26" s="110"/>
      <c r="G26" s="110" t="s">
        <v>814</v>
      </c>
      <c r="H26" s="110"/>
      <c r="I26" s="110"/>
      <c r="J26" s="110" t="s">
        <v>824</v>
      </c>
      <c r="K26" s="110" t="b">
        <v>1</v>
      </c>
    </row>
    <row r="27" spans="1:11">
      <c r="A27" s="110">
        <v>1</v>
      </c>
      <c r="B27" s="110">
        <v>214</v>
      </c>
      <c r="C27" s="110">
        <v>7</v>
      </c>
      <c r="D27" s="110" t="s">
        <v>141</v>
      </c>
      <c r="E27" s="110" t="s">
        <v>825</v>
      </c>
      <c r="F27" s="110" t="s">
        <v>826</v>
      </c>
      <c r="G27" s="110" t="s">
        <v>827</v>
      </c>
      <c r="H27" s="110"/>
      <c r="I27" s="110"/>
      <c r="J27" s="110"/>
      <c r="K27" s="110" t="b">
        <v>0</v>
      </c>
    </row>
    <row r="28" spans="1:11">
      <c r="A28" s="110">
        <v>1</v>
      </c>
      <c r="B28" s="110">
        <v>215</v>
      </c>
      <c r="C28" s="110">
        <v>8</v>
      </c>
      <c r="D28" s="110" t="s">
        <v>142</v>
      </c>
      <c r="E28" s="110" t="s">
        <v>828</v>
      </c>
      <c r="F28" s="110" t="s">
        <v>826</v>
      </c>
      <c r="G28" s="110" t="s">
        <v>818</v>
      </c>
      <c r="H28" s="110">
        <v>0</v>
      </c>
      <c r="I28" s="110">
        <v>1</v>
      </c>
      <c r="J28" s="110"/>
      <c r="K28" s="110" t="b">
        <v>0</v>
      </c>
    </row>
    <row r="29" spans="1:11">
      <c r="A29" s="110">
        <v>1</v>
      </c>
      <c r="B29" s="110">
        <v>216</v>
      </c>
      <c r="C29" s="110">
        <v>9</v>
      </c>
      <c r="D29" s="110" t="s">
        <v>143</v>
      </c>
      <c r="E29" s="110" t="s">
        <v>829</v>
      </c>
      <c r="F29" s="110" t="s">
        <v>830</v>
      </c>
      <c r="G29" s="110" t="s">
        <v>818</v>
      </c>
      <c r="H29" s="110">
        <v>100</v>
      </c>
      <c r="I29" s="110">
        <v>500</v>
      </c>
      <c r="J29" s="110"/>
      <c r="K29" s="110" t="b">
        <v>0</v>
      </c>
    </row>
    <row r="30" spans="1:11">
      <c r="A30" s="110">
        <v>1</v>
      </c>
      <c r="B30" s="110">
        <v>217</v>
      </c>
      <c r="C30" s="110">
        <v>10</v>
      </c>
      <c r="D30" s="110" t="s">
        <v>144</v>
      </c>
      <c r="E30" s="110" t="s">
        <v>831</v>
      </c>
      <c r="F30" s="110" t="s">
        <v>832</v>
      </c>
      <c r="G30" s="110" t="s">
        <v>818</v>
      </c>
      <c r="H30" s="110">
        <v>0</v>
      </c>
      <c r="I30" s="110">
        <v>1</v>
      </c>
      <c r="J30" s="110"/>
      <c r="K30" s="110" t="b">
        <v>1</v>
      </c>
    </row>
    <row r="31" spans="1:11">
      <c r="A31" s="110">
        <v>1</v>
      </c>
      <c r="B31" s="110">
        <v>218</v>
      </c>
      <c r="C31" s="110">
        <v>11</v>
      </c>
      <c r="D31" s="110" t="s">
        <v>145</v>
      </c>
      <c r="E31" s="110" t="s">
        <v>833</v>
      </c>
      <c r="F31" s="110" t="s">
        <v>826</v>
      </c>
      <c r="G31" s="110" t="s">
        <v>818</v>
      </c>
      <c r="H31" s="110">
        <v>0</v>
      </c>
      <c r="I31" s="110">
        <v>100000</v>
      </c>
      <c r="J31" s="110"/>
      <c r="K31" s="110" t="b">
        <v>0</v>
      </c>
    </row>
    <row r="32" spans="1:11">
      <c r="A32" s="110">
        <v>1</v>
      </c>
      <c r="B32" s="110">
        <v>219</v>
      </c>
      <c r="C32" s="110">
        <v>12</v>
      </c>
      <c r="D32" s="110" t="s">
        <v>146</v>
      </c>
      <c r="E32" s="110" t="s">
        <v>834</v>
      </c>
      <c r="F32" s="110" t="s">
        <v>835</v>
      </c>
      <c r="G32" s="110" t="s">
        <v>818</v>
      </c>
      <c r="H32" s="110">
        <v>0</v>
      </c>
      <c r="I32" s="110">
        <v>120</v>
      </c>
      <c r="J32" s="110"/>
      <c r="K32" s="110" t="b">
        <v>0</v>
      </c>
    </row>
    <row r="33" spans="1:11">
      <c r="A33" s="110">
        <v>1</v>
      </c>
      <c r="B33" s="110">
        <v>221</v>
      </c>
      <c r="C33" s="110">
        <v>14</v>
      </c>
      <c r="D33" s="110" t="s">
        <v>147</v>
      </c>
      <c r="E33" s="110" t="s">
        <v>836</v>
      </c>
      <c r="F33" s="110"/>
      <c r="G33" s="110" t="s">
        <v>814</v>
      </c>
      <c r="H33" s="110"/>
      <c r="I33" s="110"/>
      <c r="J33" s="110" t="s">
        <v>836</v>
      </c>
      <c r="K33" s="110" t="b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3"/>
  <sheetViews>
    <sheetView workbookViewId="0">
      <selection activeCell="A34" sqref="A34"/>
    </sheetView>
  </sheetViews>
  <sheetFormatPr defaultRowHeight="15"/>
  <cols>
    <col min="1" max="1" width="15.42578125" bestFit="1" customWidth="1"/>
    <col min="2" max="2" width="10.5703125" bestFit="1" customWidth="1"/>
    <col min="3" max="3" width="30.42578125" bestFit="1" customWidth="1"/>
  </cols>
  <sheetData>
    <row r="1" spans="1:3">
      <c r="A1" s="109" t="s">
        <v>838</v>
      </c>
      <c r="B1" s="110"/>
      <c r="C1" s="110"/>
    </row>
    <row r="3" spans="1:3" ht="15.75" thickBot="1">
      <c r="A3" s="12" t="s">
        <v>814</v>
      </c>
      <c r="B3" s="12" t="s">
        <v>809</v>
      </c>
      <c r="C3" s="12" t="s">
        <v>5</v>
      </c>
    </row>
    <row r="4" spans="1:3">
      <c r="A4" s="110" t="s">
        <v>824</v>
      </c>
      <c r="B4" s="110" t="s">
        <v>157</v>
      </c>
      <c r="C4" s="110" t="s">
        <v>839</v>
      </c>
    </row>
    <row r="5" spans="1:3">
      <c r="A5" s="110" t="s">
        <v>824</v>
      </c>
      <c r="B5" s="110" t="s">
        <v>303</v>
      </c>
      <c r="C5" s="110" t="s">
        <v>840</v>
      </c>
    </row>
    <row r="6" spans="1:3">
      <c r="A6" s="79" t="s">
        <v>824</v>
      </c>
      <c r="B6" s="79" t="s">
        <v>841</v>
      </c>
      <c r="C6" s="79" t="s">
        <v>842</v>
      </c>
    </row>
    <row r="7" spans="1:3">
      <c r="A7" s="110" t="s">
        <v>836</v>
      </c>
      <c r="B7" s="110" t="s">
        <v>158</v>
      </c>
      <c r="C7" s="110" t="s">
        <v>843</v>
      </c>
    </row>
    <row r="8" spans="1:3">
      <c r="A8" s="110" t="s">
        <v>836</v>
      </c>
      <c r="B8" s="110" t="s">
        <v>165</v>
      </c>
      <c r="C8" s="110" t="s">
        <v>844</v>
      </c>
    </row>
    <row r="9" spans="1:3">
      <c r="A9" s="79" t="s">
        <v>836</v>
      </c>
      <c r="B9" s="79" t="s">
        <v>185</v>
      </c>
      <c r="C9" s="79" t="s">
        <v>845</v>
      </c>
    </row>
    <row r="10" spans="1:3">
      <c r="A10" s="110" t="s">
        <v>101</v>
      </c>
      <c r="B10" s="110" t="s">
        <v>116</v>
      </c>
      <c r="C10" s="110" t="s">
        <v>846</v>
      </c>
    </row>
    <row r="11" spans="1:3">
      <c r="A11" s="110" t="s">
        <v>101</v>
      </c>
      <c r="B11" s="110" t="s">
        <v>302</v>
      </c>
      <c r="C11" s="110" t="s">
        <v>847</v>
      </c>
    </row>
    <row r="12" spans="1:3">
      <c r="A12" s="110" t="s">
        <v>101</v>
      </c>
      <c r="B12" s="110" t="s">
        <v>848</v>
      </c>
      <c r="C12" s="110" t="s">
        <v>849</v>
      </c>
    </row>
    <row r="13" spans="1:3">
      <c r="A13" s="110" t="s">
        <v>101</v>
      </c>
      <c r="B13" s="110" t="s">
        <v>850</v>
      </c>
      <c r="C13" s="110" t="s">
        <v>851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Reeves</dc:creator>
  <cp:keywords/>
  <dc:description/>
  <cp:lastModifiedBy>X</cp:lastModifiedBy>
  <cp:revision/>
  <dcterms:created xsi:type="dcterms:W3CDTF">2015-08-07T16:35:25Z</dcterms:created>
  <dcterms:modified xsi:type="dcterms:W3CDTF">2022-04-06T21:57:56Z</dcterms:modified>
  <cp:category/>
  <cp:contentStatus/>
</cp:coreProperties>
</file>